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ERIKANAN\2023\SEKSI PENANGKAPAN IKAN DAN JASA PERIKANAN\statistik\"/>
    </mc:Choice>
  </mc:AlternateContent>
  <xr:revisionPtr revIDLastSave="0" documentId="13_ncr:1_{223F9535-16FD-4157-B5A5-81564BD439F2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RTP LAUT" sheetId="2" r:id="rId1"/>
    <sheet name="PRODUKSI LAUT" sheetId="4" r:id="rId2"/>
    <sheet name="NILAI PRODUKSI LAUT " sheetId="9" r:id="rId3"/>
    <sheet name="RTP PUD" sheetId="5" r:id="rId4"/>
    <sheet name="JUMLAH PRODUKSI PUD " sheetId="8" r:id="rId5"/>
    <sheet name="NILAI PRODUKSI PUD" sheetId="11" r:id="rId6"/>
  </sheets>
  <definedNames>
    <definedName name="_xlnm.Print_Area" localSheetId="2">'NILAI PRODUKSI LAUT '!$A$1:$E$50</definedName>
    <definedName name="_xlnm.Print_Area" localSheetId="1">'PRODUKSI LAUT'!$A$1:$E$50</definedName>
    <definedName name="_xlnm.Print_Area" localSheetId="0">'RTP LAUT'!$A$1:$E$71</definedName>
  </definedNames>
  <calcPr calcId="191029"/>
</workbook>
</file>

<file path=xl/calcChain.xml><?xml version="1.0" encoding="utf-8"?>
<calcChain xmlns="http://schemas.openxmlformats.org/spreadsheetml/2006/main">
  <c r="J22" i="11" l="1"/>
  <c r="I22" i="11"/>
  <c r="H22" i="11"/>
  <c r="H7" i="11" s="1"/>
  <c r="F22" i="11"/>
  <c r="F7" i="11" s="1"/>
  <c r="E22" i="11"/>
  <c r="P21" i="11"/>
  <c r="Q21" i="11" s="1"/>
  <c r="P20" i="11"/>
  <c r="O20" i="11"/>
  <c r="N20" i="11"/>
  <c r="M20" i="11"/>
  <c r="L20" i="11"/>
  <c r="K20" i="11"/>
  <c r="G20" i="11"/>
  <c r="Q20" i="11" s="1"/>
  <c r="Q19" i="11"/>
  <c r="G19" i="11"/>
  <c r="P18" i="11"/>
  <c r="N18" i="11"/>
  <c r="M18" i="11"/>
  <c r="L18" i="11"/>
  <c r="G18" i="11"/>
  <c r="L17" i="11"/>
  <c r="L7" i="11" s="1"/>
  <c r="K17" i="11"/>
  <c r="K7" i="11" s="1"/>
  <c r="J17" i="11"/>
  <c r="J7" i="11" s="1"/>
  <c r="I17" i="11"/>
  <c r="H17" i="11"/>
  <c r="G17" i="11"/>
  <c r="F17" i="11"/>
  <c r="E17" i="11"/>
  <c r="D17" i="11"/>
  <c r="P16" i="11"/>
  <c r="L16" i="11"/>
  <c r="K16" i="11"/>
  <c r="G16" i="11"/>
  <c r="Q16" i="11" s="1"/>
  <c r="P15" i="11"/>
  <c r="Q15" i="11" s="1"/>
  <c r="P14" i="11"/>
  <c r="O14" i="11"/>
  <c r="N14" i="11"/>
  <c r="M14" i="11"/>
  <c r="L14" i="11"/>
  <c r="K14" i="11"/>
  <c r="Q14" i="11" s="1"/>
  <c r="P13" i="11"/>
  <c r="O13" i="11"/>
  <c r="O7" i="11" s="1"/>
  <c r="N13" i="11"/>
  <c r="N7" i="11" s="1"/>
  <c r="M13" i="11"/>
  <c r="M7" i="11" s="1"/>
  <c r="L13" i="11"/>
  <c r="K13" i="11"/>
  <c r="G13" i="11"/>
  <c r="Q13" i="11" s="1"/>
  <c r="P12" i="11"/>
  <c r="O12" i="11"/>
  <c r="N12" i="11"/>
  <c r="M12" i="11"/>
  <c r="L12" i="11"/>
  <c r="K12" i="11"/>
  <c r="G12" i="11"/>
  <c r="J11" i="11"/>
  <c r="I11" i="11"/>
  <c r="H11" i="11"/>
  <c r="F11" i="11"/>
  <c r="E11" i="11"/>
  <c r="D11" i="11"/>
  <c r="Q11" i="11" s="1"/>
  <c r="P10" i="11"/>
  <c r="O10" i="11"/>
  <c r="N10" i="11"/>
  <c r="M10" i="11"/>
  <c r="L10" i="11"/>
  <c r="K10" i="11"/>
  <c r="G10" i="11"/>
  <c r="Q10" i="11" s="1"/>
  <c r="L9" i="11"/>
  <c r="K9" i="11"/>
  <c r="J9" i="11"/>
  <c r="I9" i="11"/>
  <c r="H9" i="11"/>
  <c r="F9" i="11"/>
  <c r="E9" i="11"/>
  <c r="Q9" i="11" s="1"/>
  <c r="D9" i="11"/>
  <c r="P8" i="11"/>
  <c r="O8" i="11"/>
  <c r="N8" i="11"/>
  <c r="M8" i="11"/>
  <c r="L8" i="11"/>
  <c r="K8" i="11"/>
  <c r="G8" i="11"/>
  <c r="Q8" i="11" s="1"/>
  <c r="D7" i="11"/>
  <c r="C50" i="9"/>
  <c r="D50" i="9"/>
  <c r="E50" i="9"/>
  <c r="C47" i="2"/>
  <c r="Q22" i="11" l="1"/>
  <c r="E7" i="11"/>
  <c r="G7" i="11"/>
  <c r="Q18" i="11"/>
  <c r="Q17" i="11"/>
  <c r="I7" i="11"/>
  <c r="Q12" i="11"/>
  <c r="P7" i="11"/>
  <c r="Q7" i="11"/>
  <c r="Q22" i="8"/>
  <c r="Q21" i="8"/>
  <c r="Q20" i="8"/>
  <c r="Q19" i="8"/>
  <c r="Q18" i="8"/>
  <c r="Q17" i="8"/>
  <c r="Q16" i="8"/>
  <c r="Q15" i="8"/>
  <c r="Q14" i="8"/>
  <c r="Q13" i="8"/>
  <c r="Q12" i="8"/>
  <c r="Q11" i="8"/>
  <c r="Q10" i="8"/>
  <c r="Q9" i="8"/>
  <c r="Q8" i="8"/>
  <c r="P7" i="8"/>
  <c r="O7" i="8"/>
  <c r="N7" i="8"/>
  <c r="M7" i="8"/>
  <c r="L7" i="8"/>
  <c r="K7" i="8"/>
  <c r="J7" i="8"/>
  <c r="I7" i="8"/>
  <c r="H7" i="8"/>
  <c r="G7" i="8"/>
  <c r="F7" i="8"/>
  <c r="E7" i="8"/>
  <c r="D7" i="8"/>
  <c r="Q7" i="8" l="1"/>
  <c r="Q44" i="5" l="1"/>
  <c r="Q43" i="5"/>
  <c r="Q42" i="5"/>
  <c r="Q41" i="5"/>
  <c r="Q40" i="5"/>
  <c r="Q39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Q29" i="5"/>
  <c r="Q28" i="5"/>
  <c r="Q27" i="5"/>
  <c r="Q26" i="5"/>
  <c r="Q25" i="5"/>
  <c r="Q24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Q18" i="5"/>
  <c r="Q17" i="5"/>
  <c r="P14" i="5"/>
  <c r="P10" i="5" s="1"/>
  <c r="P8" i="5" s="1"/>
  <c r="O14" i="5"/>
  <c r="N14" i="5"/>
  <c r="N10" i="5" s="1"/>
  <c r="N8" i="5" s="1"/>
  <c r="M14" i="5"/>
  <c r="L14" i="5"/>
  <c r="L10" i="5" s="1"/>
  <c r="L8" i="5" s="1"/>
  <c r="K14" i="5"/>
  <c r="K10" i="5" s="1"/>
  <c r="K8" i="5" s="1"/>
  <c r="J14" i="5"/>
  <c r="J10" i="5" s="1"/>
  <c r="J8" i="5" s="1"/>
  <c r="I14" i="5"/>
  <c r="I10" i="5" s="1"/>
  <c r="I8" i="5" s="1"/>
  <c r="H14" i="5"/>
  <c r="H10" i="5" s="1"/>
  <c r="H8" i="5" s="1"/>
  <c r="G14" i="5"/>
  <c r="F14" i="5"/>
  <c r="F10" i="5" s="1"/>
  <c r="E14" i="5"/>
  <c r="D14" i="5"/>
  <c r="D10" i="5" s="1"/>
  <c r="Q12" i="5"/>
  <c r="O10" i="5"/>
  <c r="O8" i="5" s="1"/>
  <c r="M10" i="5"/>
  <c r="M8" i="5" s="1"/>
  <c r="G10" i="5"/>
  <c r="G8" i="5" s="1"/>
  <c r="E10" i="5"/>
  <c r="E8" i="5" l="1"/>
  <c r="Q10" i="5"/>
  <c r="F8" i="5"/>
  <c r="Q37" i="5"/>
  <c r="Q22" i="5"/>
  <c r="Q14" i="5"/>
  <c r="D8" i="5" l="1"/>
  <c r="Q8" i="5" s="1"/>
  <c r="E63" i="2" l="1"/>
  <c r="C64" i="2"/>
  <c r="E64" i="2" s="1"/>
  <c r="E66" i="2"/>
  <c r="E65" i="2"/>
  <c r="D61" i="2"/>
  <c r="C61" i="2"/>
  <c r="C48" i="2"/>
  <c r="C49" i="2"/>
  <c r="E49" i="2" s="1"/>
  <c r="C50" i="2"/>
  <c r="C51" i="2"/>
  <c r="E51" i="2" s="1"/>
  <c r="C52" i="2"/>
  <c r="E52" i="2" s="1"/>
  <c r="C53" i="2"/>
  <c r="C54" i="2"/>
  <c r="C55" i="2"/>
  <c r="C56" i="2"/>
  <c r="E56" i="2" s="1"/>
  <c r="C57" i="2"/>
  <c r="E57" i="2" s="1"/>
  <c r="C58" i="2"/>
  <c r="E58" i="2" s="1"/>
  <c r="C59" i="2"/>
  <c r="C26" i="2"/>
  <c r="C13" i="2"/>
  <c r="E59" i="2"/>
  <c r="E50" i="2"/>
  <c r="E55" i="2"/>
  <c r="D13" i="2"/>
  <c r="D47" i="2"/>
  <c r="E47" i="2" s="1"/>
  <c r="D54" i="2"/>
  <c r="D9" i="2"/>
  <c r="C9" i="2"/>
  <c r="D40" i="2"/>
  <c r="E40" i="2" s="1"/>
  <c r="D34" i="2"/>
  <c r="D26" i="2"/>
  <c r="E28" i="2"/>
  <c r="E29" i="2"/>
  <c r="E30" i="2"/>
  <c r="E31" i="2"/>
  <c r="E32" i="2"/>
  <c r="E36" i="2"/>
  <c r="E37" i="2"/>
  <c r="E38" i="2"/>
  <c r="E42" i="2"/>
  <c r="E43" i="2"/>
  <c r="C34" i="2"/>
  <c r="C40" i="2"/>
  <c r="E16" i="2"/>
  <c r="E17" i="2"/>
  <c r="E18" i="2"/>
  <c r="E19" i="2"/>
  <c r="E20" i="2"/>
  <c r="E21" i="2"/>
  <c r="E22" i="2"/>
  <c r="E23" i="2"/>
  <c r="E24" i="2"/>
  <c r="E15" i="2"/>
  <c r="E54" i="2" l="1"/>
  <c r="E48" i="2"/>
  <c r="C45" i="2"/>
  <c r="C7" i="2"/>
  <c r="D45" i="2"/>
  <c r="E34" i="2"/>
  <c r="E61" i="2"/>
  <c r="E53" i="2"/>
  <c r="E45" i="2" s="1"/>
  <c r="D7" i="2"/>
  <c r="E13" i="2"/>
  <c r="E26" i="2"/>
  <c r="E7" i="2" l="1"/>
</calcChain>
</file>

<file path=xl/sharedStrings.xml><?xml version="1.0" encoding="utf-8"?>
<sst xmlns="http://schemas.openxmlformats.org/spreadsheetml/2006/main" count="290" uniqueCount="158">
  <si>
    <t xml:space="preserve">JUMLAH RUMAH TANGGA PERIKANAN LAUT, ALAT TANGKAP DAN </t>
  </si>
  <si>
    <t xml:space="preserve"> JUMLAH NELAYAN PERKECAMATAN </t>
  </si>
  <si>
    <t>Kecamatan</t>
  </si>
  <si>
    <t>Jumlah</t>
  </si>
  <si>
    <t>A</t>
  </si>
  <si>
    <t>Jumlah Rumah Tangga Perikanan (RTP)</t>
  </si>
  <si>
    <t>I</t>
  </si>
  <si>
    <t>RTP Menurut Ukuran Kapal</t>
  </si>
  <si>
    <t>a.  KM_0 - 5 GT</t>
  </si>
  <si>
    <t>b.  5 - 10 GT</t>
  </si>
  <si>
    <t>B</t>
  </si>
  <si>
    <t>Alat Tangkap (Unit)</t>
  </si>
  <si>
    <t>1. Jaring Insang Hanyut</t>
  </si>
  <si>
    <t>C</t>
  </si>
  <si>
    <t>Jumlah Nelayan (Orang)</t>
  </si>
  <si>
    <t>a.  0 - 5 GT</t>
  </si>
  <si>
    <t>-</t>
  </si>
  <si>
    <t>d. 30 - 50 GT</t>
  </si>
  <si>
    <t>NO</t>
  </si>
  <si>
    <t>Rumah Tangga Perikanan Tangkap</t>
  </si>
  <si>
    <t>RTP TANPA PERAHU</t>
  </si>
  <si>
    <t>1. Penggaruk Tanpa Kapal</t>
  </si>
  <si>
    <t>II</t>
  </si>
  <si>
    <t>Jaring Insang Hanyut, Jaring Gillnet Oseanik</t>
  </si>
  <si>
    <t>Pukat Hela Pertengahan Berpapan, Pukat Ikan</t>
  </si>
  <si>
    <t>2. Jaring Insang Berpancang</t>
  </si>
  <si>
    <t>3. Jaring Insang Kombinasi Dengan Trammel Net</t>
  </si>
  <si>
    <t>4. Pukat Hela Dasar Berpapan</t>
  </si>
  <si>
    <t>5. Pukat Hela Pertengahan Berpapan, Pukat Ikan</t>
  </si>
  <si>
    <t>7.Perangkap (Bubu)</t>
  </si>
  <si>
    <t>8. Penggaruk Berkapal</t>
  </si>
  <si>
    <t>9. Pukat Dorong</t>
  </si>
  <si>
    <t>10. Rawai Dasar</t>
  </si>
  <si>
    <t>6. Perangkap (Togo)</t>
  </si>
  <si>
    <t>Jaring Insang Tetap, Jaring Liong Bun</t>
  </si>
  <si>
    <t>2. Jaring Insang Tetap, Jaring Liong Bun</t>
  </si>
  <si>
    <t>3. Jaring Insang Berlapis, Jaring Klitik</t>
  </si>
  <si>
    <t>c. 20- 30 GT</t>
  </si>
  <si>
    <t>4. Jaring Insang Berlapis, Jaring Klitik</t>
  </si>
  <si>
    <t>11. Penggaruk Tanpa Kapal</t>
  </si>
  <si>
    <t>c. 20 - 30 GT</t>
  </si>
  <si>
    <t>JUMLAH PRODUKSI PERIKANAN TANGKAP LAUT PER KECAMATAN</t>
  </si>
  <si>
    <t>KABUPATEN TANJUNG JABUNG BARAT</t>
  </si>
  <si>
    <t>Satuan :</t>
  </si>
  <si>
    <t>Ton</t>
  </si>
  <si>
    <t>No</t>
  </si>
  <si>
    <t>Jenis Ikan</t>
  </si>
  <si>
    <t>Produksi (Ton)</t>
  </si>
  <si>
    <t>(Ton)*</t>
  </si>
  <si>
    <t xml:space="preserve">Tenggiri </t>
  </si>
  <si>
    <t>Bawal hitam</t>
  </si>
  <si>
    <t xml:space="preserve">Bawal putih </t>
  </si>
  <si>
    <t xml:space="preserve">Senangin </t>
  </si>
  <si>
    <t xml:space="preserve">Kakap merah </t>
  </si>
  <si>
    <t xml:space="preserve">Kakap putih </t>
  </si>
  <si>
    <t>Kakap batu</t>
  </si>
  <si>
    <t>Alu-alu</t>
  </si>
  <si>
    <t>Gerot</t>
  </si>
  <si>
    <t>Kurau</t>
  </si>
  <si>
    <t>Kembung</t>
  </si>
  <si>
    <t xml:space="preserve">Belanak </t>
  </si>
  <si>
    <t>Gulama</t>
  </si>
  <si>
    <t>Parang-parang</t>
  </si>
  <si>
    <t>Talang-talang</t>
  </si>
  <si>
    <t xml:space="preserve">Sembilang </t>
  </si>
  <si>
    <t>Remang (Malung )</t>
  </si>
  <si>
    <t>Mayung</t>
  </si>
  <si>
    <t xml:space="preserve">Kerapu </t>
  </si>
  <si>
    <t xml:space="preserve">Layur </t>
  </si>
  <si>
    <t>Pari</t>
  </si>
  <si>
    <t>Lidah</t>
  </si>
  <si>
    <t>Sebelah</t>
  </si>
  <si>
    <t>Lomek</t>
  </si>
  <si>
    <t>Selanget</t>
  </si>
  <si>
    <t>Selar kuning</t>
  </si>
  <si>
    <t>Tamban/Tembang</t>
  </si>
  <si>
    <t>Bilis</t>
  </si>
  <si>
    <t>BINATANG BERKULIT KERAS</t>
  </si>
  <si>
    <t xml:space="preserve">Udang dogol </t>
  </si>
  <si>
    <t xml:space="preserve">Udang putih </t>
  </si>
  <si>
    <t>Udang krosok</t>
  </si>
  <si>
    <t>Udang ketak</t>
  </si>
  <si>
    <t>Udang belang</t>
  </si>
  <si>
    <t>Udang Grogo/Rebon</t>
  </si>
  <si>
    <t xml:space="preserve">Kepiting </t>
  </si>
  <si>
    <t xml:space="preserve">Rajungan </t>
  </si>
  <si>
    <t xml:space="preserve">Kerang darah </t>
  </si>
  <si>
    <t>Siput</t>
  </si>
  <si>
    <t>BINATANG BERKULIT LUNAK</t>
  </si>
  <si>
    <t xml:space="preserve">Cumi-cumi </t>
  </si>
  <si>
    <t>Sotong</t>
  </si>
  <si>
    <t>Jumlah............</t>
  </si>
  <si>
    <t>URAIAN</t>
  </si>
  <si>
    <t>KECAMATAN</t>
  </si>
  <si>
    <t>RUMAH TANGGA PERIKANAN (RTP)</t>
  </si>
  <si>
    <t>ARMADA (UNIT)</t>
  </si>
  <si>
    <t>A.</t>
  </si>
  <si>
    <t>Kapal/Perahu Motor ≤ 1 GT</t>
  </si>
  <si>
    <t xml:space="preserve">B. </t>
  </si>
  <si>
    <t>Jukung</t>
  </si>
  <si>
    <t>Perahu papan</t>
  </si>
  <si>
    <t>a. Kecil</t>
  </si>
  <si>
    <t>b. Sedang</t>
  </si>
  <si>
    <t>Tanpa Perahu</t>
  </si>
  <si>
    <t>III</t>
  </si>
  <si>
    <t>ALAT TANGKAP (UNIT)</t>
  </si>
  <si>
    <t>Bubu</t>
  </si>
  <si>
    <t>Jr. Insang berpancang/ Belat</t>
  </si>
  <si>
    <t>Jr. Insang Hanyut</t>
  </si>
  <si>
    <t>Jala Tebar</t>
  </si>
  <si>
    <t>Pancing Berjoran</t>
  </si>
  <si>
    <t>Serok/Antong</t>
  </si>
  <si>
    <t>IV</t>
  </si>
  <si>
    <t>JUMLAH NELAYAN (ORANG)</t>
  </si>
  <si>
    <t>Betok</t>
  </si>
  <si>
    <t xml:space="preserve">Baung </t>
  </si>
  <si>
    <t xml:space="preserve">Gabus </t>
  </si>
  <si>
    <t>Ketting</t>
  </si>
  <si>
    <t>Lele /kelli</t>
  </si>
  <si>
    <t>Lampan</t>
  </si>
  <si>
    <t xml:space="preserve">Lais </t>
  </si>
  <si>
    <t>Nila</t>
  </si>
  <si>
    <t xml:space="preserve">Sepat </t>
  </si>
  <si>
    <t>Sembilang</t>
  </si>
  <si>
    <t xml:space="preserve">Tambakan </t>
  </si>
  <si>
    <t xml:space="preserve">Toman </t>
  </si>
  <si>
    <t>Tapah</t>
  </si>
  <si>
    <t>Patin</t>
  </si>
  <si>
    <t xml:space="preserve">Udang galah </t>
  </si>
  <si>
    <t>Perahu Tanpa Motor</t>
  </si>
  <si>
    <t>JENIS IKAN ( TON)</t>
  </si>
  <si>
    <t xml:space="preserve">JUMLAH PRODUKSI PERAIRAN UMUM PERKECAMATAN </t>
  </si>
  <si>
    <t>JUMLAH RUMAH TANGGA PERIKANAN PERAIRAN UMUM , ALAT TANGKAP, DAN JUMLAH NELAYAN</t>
  </si>
  <si>
    <t>TAHUN 2022</t>
  </si>
  <si>
    <t>KABUPATEN TANJUNG JABUNG BARAT TAHUN 2022</t>
  </si>
  <si>
    <t>Jumlah/Total</t>
  </si>
  <si>
    <t>(Rp.Ribu)</t>
  </si>
  <si>
    <t>RP.1000</t>
  </si>
  <si>
    <t>NILAI PRODUKSI PERIKANAN TANGKAP LAUT PER KECAMATAN</t>
  </si>
  <si>
    <t xml:space="preserve">NILAI PRODUKSI PERAIRAN UMUM PERKECAMATAN </t>
  </si>
  <si>
    <t>Jumlah (Rp.Ribu)</t>
  </si>
  <si>
    <t xml:space="preserve">JENIS IKAN </t>
  </si>
  <si>
    <t>Keting</t>
  </si>
  <si>
    <t>Tungkal Ilir (1507030)</t>
  </si>
  <si>
    <t>Kuala Betara (1507041)</t>
  </si>
  <si>
    <t>Kec. Tungkal Ilir (1507030)</t>
  </si>
  <si>
    <t>Kec. Kuala Betara  (1507041)</t>
  </si>
  <si>
    <t>Bram Itam (1507031)</t>
  </si>
  <si>
    <t>Seberang Kota (1507032)</t>
  </si>
  <si>
    <t>Pengabuan (1507020)</t>
  </si>
  <si>
    <t>Senyerang (1507021)</t>
  </si>
  <si>
    <t>Tungkal Ulu (1507010)</t>
  </si>
  <si>
    <t>Batang Asam (1507012)</t>
  </si>
  <si>
    <t>Tebing Tinggi (1507013)</t>
  </si>
  <si>
    <t>Merlung (1507011)</t>
  </si>
  <si>
    <t>Muara Papalik (1507015)</t>
  </si>
  <si>
    <t>Renah Mendaluh (1507014)</t>
  </si>
  <si>
    <t>Betara (1507040)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</si>
</sst>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_-;\-* #,##0_-;_-* &quot;-&quot;_-;_-@_-"/>
    <numFmt numFmtId="165" formatCode="_-* #,##0.00_-;\-* #,##0.00_-;_-* &quot;-&quot;_-;_-@_-"/>
    <numFmt numFmtId="166" formatCode="_(* #,##0.0_);_(* \(#,##0.0\);_(* &quot;-&quot;_);_(@_)"/>
    <numFmt numFmtId="167" formatCode="_(* #,##0.00_);_(* \(#,##0.00\);_(* &quot;-&quot;_);_(@_)"/>
    <numFmt numFmtId="168" formatCode="[$Rp. -3809]#,##0.00;\-[$Rp. -3809]#,##0.00;[$Rp. -3809]#,##0.00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  <font>
      <sz val="9"/>
      <color indexed="8"/>
      <name val="Bookman Old Style"/>
      <family val="1"/>
    </font>
    <font>
      <b/>
      <sz val="9"/>
      <color indexed="8"/>
      <name val="Bookman Old Style"/>
      <family val="1"/>
    </font>
    <font>
      <sz val="9"/>
      <color theme="1"/>
      <name val="Bookman Old Style"/>
      <family val="1"/>
    </font>
    <font>
      <sz val="9"/>
      <color rgb="FF000000"/>
      <name val="Bookman Old Style"/>
      <family val="1"/>
    </font>
    <font>
      <b/>
      <sz val="9"/>
      <name val="Bookman Old Style"/>
      <family val="1"/>
    </font>
    <font>
      <sz val="9"/>
      <name val="Bookman Old Style"/>
      <family val="1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indexed="64"/>
      </bottom>
      <diagonal/>
    </border>
    <border>
      <left/>
      <right style="thin">
        <color auto="1"/>
      </right>
      <top style="dotted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7">
    <xf numFmtId="0" fontId="0" fillId="0" borderId="0" xfId="0"/>
    <xf numFmtId="0" fontId="4" fillId="2" borderId="1" xfId="0" applyFont="1" applyFill="1" applyBorder="1"/>
    <xf numFmtId="0" fontId="0" fillId="0" borderId="1" xfId="0" applyBorder="1"/>
    <xf numFmtId="0" fontId="2" fillId="0" borderId="1" xfId="0" applyFont="1" applyBorder="1"/>
    <xf numFmtId="0" fontId="4" fillId="0" borderId="1" xfId="0" applyFont="1" applyBorder="1"/>
    <xf numFmtId="0" fontId="2" fillId="3" borderId="1" xfId="0" applyFont="1" applyFill="1" applyBorder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1" fontId="2" fillId="0" borderId="1" xfId="0" applyNumberFormat="1" applyFont="1" applyBorder="1"/>
    <xf numFmtId="164" fontId="5" fillId="0" borderId="1" xfId="1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1" fontId="4" fillId="4" borderId="1" xfId="0" applyNumberFormat="1" applyFont="1" applyFill="1" applyBorder="1"/>
    <xf numFmtId="164" fontId="4" fillId="4" borderId="1" xfId="1" applyFont="1" applyFill="1" applyBorder="1" applyAlignment="1"/>
    <xf numFmtId="0" fontId="4" fillId="2" borderId="1" xfId="0" applyFont="1" applyFill="1" applyBorder="1" applyAlignment="1">
      <alignment horizontal="center"/>
    </xf>
    <xf numFmtId="164" fontId="4" fillId="2" borderId="1" xfId="1" applyFont="1" applyFill="1" applyBorder="1" applyAlignment="1">
      <alignment horizontal="right"/>
    </xf>
    <xf numFmtId="164" fontId="5" fillId="0" borderId="1" xfId="1" applyFont="1" applyFill="1" applyBorder="1" applyAlignment="1"/>
    <xf numFmtId="165" fontId="0" fillId="0" borderId="0" xfId="0" applyNumberFormat="1"/>
    <xf numFmtId="165" fontId="3" fillId="0" borderId="0" xfId="1" applyNumberFormat="1" applyFont="1" applyBorder="1" applyAlignment="1"/>
    <xf numFmtId="0" fontId="3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left" vertical="top"/>
    </xf>
    <xf numFmtId="1" fontId="0" fillId="0" borderId="1" xfId="0" applyNumberFormat="1" applyBorder="1" applyProtection="1">
      <protection locked="0"/>
    </xf>
    <xf numFmtId="1" fontId="0" fillId="0" borderId="1" xfId="0" applyNumberFormat="1" applyBorder="1"/>
    <xf numFmtId="164" fontId="0" fillId="0" borderId="1" xfId="0" applyNumberFormat="1" applyBorder="1"/>
    <xf numFmtId="0" fontId="4" fillId="3" borderId="1" xfId="0" applyFont="1" applyFill="1" applyBorder="1"/>
    <xf numFmtId="164" fontId="5" fillId="0" borderId="0" xfId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4" fontId="0" fillId="0" borderId="1" xfId="0" applyNumberFormat="1" applyBorder="1"/>
    <xf numFmtId="0" fontId="2" fillId="5" borderId="1" xfId="0" applyFont="1" applyFill="1" applyBorder="1"/>
    <xf numFmtId="4" fontId="2" fillId="5" borderId="1" xfId="0" applyNumberFormat="1" applyFont="1" applyFill="1" applyBorder="1"/>
    <xf numFmtId="0" fontId="9" fillId="0" borderId="0" xfId="0" applyFont="1"/>
    <xf numFmtId="0" fontId="10" fillId="2" borderId="2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distributed"/>
    </xf>
    <xf numFmtId="0" fontId="10" fillId="3" borderId="2" xfId="0" applyFont="1" applyFill="1" applyBorder="1"/>
    <xf numFmtId="0" fontId="10" fillId="3" borderId="3" xfId="0" applyFont="1" applyFill="1" applyBorder="1"/>
    <xf numFmtId="0" fontId="10" fillId="3" borderId="4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" xfId="0" applyFont="1" applyFill="1" applyBorder="1"/>
    <xf numFmtId="3" fontId="11" fillId="2" borderId="1" xfId="0" applyNumberFormat="1" applyFont="1" applyFill="1" applyBorder="1"/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5" xfId="0" applyFont="1" applyFill="1" applyBorder="1"/>
    <xf numFmtId="3" fontId="10" fillId="3" borderId="5" xfId="0" applyNumberFormat="1" applyFont="1" applyFill="1" applyBorder="1"/>
    <xf numFmtId="164" fontId="11" fillId="2" borderId="1" xfId="0" applyNumberFormat="1" applyFont="1" applyFill="1" applyBorder="1"/>
    <xf numFmtId="0" fontId="12" fillId="3" borderId="5" xfId="0" applyFont="1" applyFill="1" applyBorder="1"/>
    <xf numFmtId="3" fontId="12" fillId="3" borderId="5" xfId="0" applyNumberFormat="1" applyFont="1" applyFill="1" applyBorder="1"/>
    <xf numFmtId="0" fontId="10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3" fillId="3" borderId="12" xfId="0" applyFont="1" applyFill="1" applyBorder="1"/>
    <xf numFmtId="164" fontId="12" fillId="3" borderId="10" xfId="1" applyFont="1" applyFill="1" applyBorder="1" applyAlignment="1"/>
    <xf numFmtId="0" fontId="10" fillId="3" borderId="12" xfId="0" applyFont="1" applyFill="1" applyBorder="1"/>
    <xf numFmtId="164" fontId="12" fillId="3" borderId="10" xfId="1" applyFont="1" applyFill="1" applyBorder="1" applyAlignment="1">
      <alignment horizontal="right"/>
    </xf>
    <xf numFmtId="0" fontId="14" fillId="2" borderId="1" xfId="0" applyFont="1" applyFill="1" applyBorder="1"/>
    <xf numFmtId="0" fontId="15" fillId="3" borderId="5" xfId="0" applyFont="1" applyFill="1" applyBorder="1"/>
    <xf numFmtId="3" fontId="15" fillId="3" borderId="5" xfId="0" applyNumberFormat="1" applyFont="1" applyFill="1" applyBorder="1"/>
    <xf numFmtId="164" fontId="15" fillId="3" borderId="13" xfId="1" applyFont="1" applyFill="1" applyBorder="1" applyAlignment="1">
      <alignment horizontal="right"/>
    </xf>
    <xf numFmtId="3" fontId="15" fillId="3" borderId="10" xfId="0" applyNumberFormat="1" applyFont="1" applyFill="1" applyBorder="1"/>
    <xf numFmtId="164" fontId="12" fillId="3" borderId="13" xfId="1" applyFont="1" applyFill="1" applyBorder="1" applyAlignment="1">
      <alignment horizontal="right"/>
    </xf>
    <xf numFmtId="0" fontId="10" fillId="3" borderId="14" xfId="0" applyFont="1" applyFill="1" applyBorder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10" fillId="3" borderId="16" xfId="0" applyFont="1" applyFill="1" applyBorder="1"/>
    <xf numFmtId="164" fontId="15" fillId="3" borderId="17" xfId="1" applyFont="1" applyFill="1" applyBorder="1" applyAlignment="1"/>
    <xf numFmtId="164" fontId="15" fillId="3" borderId="17" xfId="1" applyFont="1" applyFill="1" applyBorder="1" applyAlignment="1">
      <alignment horizontal="right"/>
    </xf>
    <xf numFmtId="3" fontId="15" fillId="3" borderId="14" xfId="0" applyNumberFormat="1" applyFont="1" applyFill="1" applyBorder="1"/>
    <xf numFmtId="164" fontId="15" fillId="3" borderId="10" xfId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164" fontId="15" fillId="3" borderId="5" xfId="1" applyFont="1" applyFill="1" applyBorder="1" applyAlignment="1">
      <alignment horizontal="right"/>
    </xf>
    <xf numFmtId="0" fontId="10" fillId="3" borderId="18" xfId="0" applyFont="1" applyFill="1" applyBorder="1" applyAlignment="1">
      <alignment horizontal="center"/>
    </xf>
    <xf numFmtId="0" fontId="10" fillId="3" borderId="18" xfId="0" applyFont="1" applyFill="1" applyBorder="1"/>
    <xf numFmtId="164" fontId="15" fillId="3" borderId="18" xfId="1" applyFont="1" applyFill="1" applyBorder="1" applyAlignment="1">
      <alignment horizontal="right"/>
    </xf>
    <xf numFmtId="3" fontId="15" fillId="3" borderId="18" xfId="0" applyNumberFormat="1" applyFont="1" applyFill="1" applyBorder="1"/>
    <xf numFmtId="164" fontId="15" fillId="3" borderId="0" xfId="1" applyFont="1" applyFill="1" applyBorder="1" applyAlignment="1">
      <alignment horizontal="right"/>
    </xf>
    <xf numFmtId="3" fontId="15" fillId="3" borderId="0" xfId="0" applyNumberFormat="1" applyFont="1" applyFill="1"/>
    <xf numFmtId="0" fontId="11" fillId="2" borderId="19" xfId="0" applyFont="1" applyFill="1" applyBorder="1"/>
    <xf numFmtId="0" fontId="15" fillId="3" borderId="10" xfId="0" applyFont="1" applyFill="1" applyBorder="1"/>
    <xf numFmtId="164" fontId="15" fillId="3" borderId="10" xfId="1" applyFont="1" applyFill="1" applyBorder="1" applyAlignment="1"/>
    <xf numFmtId="0" fontId="15" fillId="3" borderId="14" xfId="0" applyFont="1" applyFill="1" applyBorder="1"/>
    <xf numFmtId="166" fontId="14" fillId="2" borderId="1" xfId="1" applyNumberFormat="1" applyFont="1" applyFill="1" applyBorder="1" applyAlignment="1"/>
    <xf numFmtId="167" fontId="14" fillId="2" borderId="1" xfId="1" applyNumberFormat="1" applyFont="1" applyFill="1" applyBorder="1" applyAlignment="1"/>
    <xf numFmtId="0" fontId="15" fillId="0" borderId="5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3" borderId="21" xfId="0" applyFont="1" applyFill="1" applyBorder="1"/>
    <xf numFmtId="166" fontId="15" fillId="3" borderId="17" xfId="1" applyNumberFormat="1" applyFont="1" applyFill="1" applyBorder="1" applyAlignment="1">
      <alignment horizontal="right"/>
    </xf>
    <xf numFmtId="166" fontId="15" fillId="0" borderId="5" xfId="1" applyNumberFormat="1" applyFont="1" applyFill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3" borderId="12" xfId="0" applyFont="1" applyFill="1" applyBorder="1"/>
    <xf numFmtId="166" fontId="15" fillId="3" borderId="10" xfId="1" applyNumberFormat="1" applyFont="1" applyFill="1" applyBorder="1" applyAlignment="1">
      <alignment horizontal="right"/>
    </xf>
    <xf numFmtId="166" fontId="15" fillId="0" borderId="10" xfId="1" applyNumberFormat="1" applyFont="1" applyFill="1" applyBorder="1" applyAlignment="1">
      <alignment vertical="center"/>
    </xf>
    <xf numFmtId="0" fontId="12" fillId="3" borderId="12" xfId="0" applyFont="1" applyFill="1" applyBorder="1"/>
    <xf numFmtId="166" fontId="12" fillId="0" borderId="10" xfId="1" applyNumberFormat="1" applyFont="1" applyBorder="1" applyAlignment="1"/>
    <xf numFmtId="0" fontId="15" fillId="0" borderId="22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15" fillId="3" borderId="24" xfId="0" applyFont="1" applyFill="1" applyBorder="1"/>
    <xf numFmtId="164" fontId="15" fillId="0" borderId="22" xfId="1" applyFont="1" applyFill="1" applyBorder="1" applyAlignment="1">
      <alignment vertical="center"/>
    </xf>
    <xf numFmtId="0" fontId="10" fillId="3" borderId="22" xfId="0" applyFont="1" applyFill="1" applyBorder="1" applyAlignment="1">
      <alignment horizontal="center"/>
    </xf>
    <xf numFmtId="1" fontId="3" fillId="0" borderId="0" xfId="1" applyNumberFormat="1" applyFont="1" applyBorder="1" applyAlignment="1"/>
    <xf numFmtId="1" fontId="3" fillId="0" borderId="0" xfId="0" applyNumberFormat="1" applyFont="1"/>
    <xf numFmtId="1" fontId="16" fillId="0" borderId="0" xfId="0" applyNumberFormat="1" applyFont="1" applyAlignment="1">
      <alignment vertical="center"/>
    </xf>
    <xf numFmtId="0" fontId="10" fillId="3" borderId="23" xfId="0" applyFont="1" applyFill="1" applyBorder="1"/>
    <xf numFmtId="0" fontId="10" fillId="3" borderId="24" xfId="0" applyFont="1" applyFill="1" applyBorder="1"/>
    <xf numFmtId="0" fontId="15" fillId="3" borderId="22" xfId="0" applyFont="1" applyFill="1" applyBorder="1"/>
    <xf numFmtId="3" fontId="0" fillId="0" borderId="0" xfId="0" applyNumberFormat="1"/>
    <xf numFmtId="164" fontId="3" fillId="0" borderId="0" xfId="0" applyNumberFormat="1" applyFont="1"/>
    <xf numFmtId="4" fontId="0" fillId="0" borderId="0" xfId="0" applyNumberFormat="1" applyAlignment="1">
      <alignment wrapText="1"/>
    </xf>
    <xf numFmtId="0" fontId="17" fillId="0" borderId="0" xfId="0" applyFont="1"/>
    <xf numFmtId="3" fontId="17" fillId="0" borderId="0" xfId="0" applyNumberFormat="1" applyFont="1"/>
    <xf numFmtId="164" fontId="17" fillId="0" borderId="0" xfId="0" applyNumberFormat="1" applyFont="1"/>
    <xf numFmtId="3" fontId="17" fillId="0" borderId="0" xfId="2" applyNumberFormat="1" applyFont="1"/>
    <xf numFmtId="4" fontId="17" fillId="0" borderId="0" xfId="0" applyNumberFormat="1" applyFont="1"/>
    <xf numFmtId="3" fontId="2" fillId="5" borderId="1" xfId="0" applyNumberFormat="1" applyFont="1" applyFill="1" applyBorder="1"/>
    <xf numFmtId="3" fontId="0" fillId="0" borderId="1" xfId="0" applyNumberFormat="1" applyBorder="1"/>
    <xf numFmtId="0" fontId="10" fillId="2" borderId="2" xfId="0" applyFont="1" applyFill="1" applyBorder="1" applyAlignment="1">
      <alignment horizontal="center" vertical="center" wrapText="1"/>
    </xf>
    <xf numFmtId="41" fontId="14" fillId="2" borderId="1" xfId="1" applyNumberFormat="1" applyFont="1" applyFill="1" applyBorder="1" applyAlignment="1"/>
    <xf numFmtId="41" fontId="15" fillId="0" borderId="5" xfId="1" applyNumberFormat="1" applyFont="1" applyFill="1" applyBorder="1" applyAlignment="1">
      <alignment vertical="center"/>
    </xf>
    <xf numFmtId="0" fontId="18" fillId="0" borderId="0" xfId="0" applyFont="1"/>
    <xf numFmtId="3" fontId="3" fillId="0" borderId="0" xfId="0" applyNumberFormat="1" applyFont="1"/>
    <xf numFmtId="41" fontId="15" fillId="0" borderId="10" xfId="1" applyNumberFormat="1" applyFont="1" applyFill="1" applyBorder="1" applyAlignment="1">
      <alignment vertical="center"/>
    </xf>
    <xf numFmtId="168" fontId="17" fillId="0" borderId="0" xfId="0" applyNumberFormat="1" applyFont="1"/>
    <xf numFmtId="168" fontId="17" fillId="0" borderId="0" xfId="0" applyNumberFormat="1" applyFont="1" applyProtection="1">
      <protection locked="0"/>
    </xf>
    <xf numFmtId="166" fontId="15" fillId="3" borderId="6" xfId="1" applyNumberFormat="1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</cellXfs>
  <cellStyles count="3">
    <cellStyle name="Comma [0]" xfId="1" builtinId="6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5"/>
  <sheetViews>
    <sheetView zoomScaleNormal="100" zoomScaleSheetLayoutView="100" workbookViewId="0">
      <selection activeCell="D6" sqref="D6"/>
    </sheetView>
  </sheetViews>
  <sheetFormatPr defaultRowHeight="14.4" x14ac:dyDescent="0.3"/>
  <cols>
    <col min="1" max="1" width="4.88671875" customWidth="1"/>
    <col min="2" max="2" width="44.33203125" bestFit="1" customWidth="1"/>
    <col min="3" max="3" width="10.6640625" bestFit="1" customWidth="1"/>
    <col min="4" max="4" width="12" bestFit="1" customWidth="1"/>
    <col min="5" max="5" width="11.109375" customWidth="1"/>
    <col min="6" max="7" width="9.5546875" bestFit="1" customWidth="1"/>
  </cols>
  <sheetData>
    <row r="1" spans="1:8" x14ac:dyDescent="0.3">
      <c r="A1" s="146" t="s">
        <v>0</v>
      </c>
      <c r="B1" s="146"/>
      <c r="C1" s="146"/>
      <c r="D1" s="146"/>
      <c r="E1" s="146"/>
    </row>
    <row r="2" spans="1:8" x14ac:dyDescent="0.3">
      <c r="A2" s="146" t="s">
        <v>1</v>
      </c>
      <c r="B2" s="146"/>
      <c r="C2" s="146"/>
      <c r="D2" s="146"/>
      <c r="E2" s="146"/>
    </row>
    <row r="3" spans="1:8" x14ac:dyDescent="0.3">
      <c r="A3" s="146" t="s">
        <v>134</v>
      </c>
      <c r="B3" s="146"/>
      <c r="C3" s="146"/>
      <c r="D3" s="146"/>
      <c r="E3" s="146"/>
    </row>
    <row r="5" spans="1:8" x14ac:dyDescent="0.3">
      <c r="A5" s="145" t="s">
        <v>18</v>
      </c>
      <c r="B5" s="145" t="s">
        <v>19</v>
      </c>
      <c r="C5" s="147" t="s">
        <v>2</v>
      </c>
      <c r="D5" s="147"/>
      <c r="E5" s="145" t="s">
        <v>3</v>
      </c>
    </row>
    <row r="6" spans="1:8" ht="28.8" x14ac:dyDescent="0.3">
      <c r="A6" s="145"/>
      <c r="B6" s="145"/>
      <c r="C6" s="155" t="s">
        <v>143</v>
      </c>
      <c r="D6" s="155" t="s">
        <v>144</v>
      </c>
      <c r="E6" s="145"/>
    </row>
    <row r="7" spans="1:8" x14ac:dyDescent="0.3">
      <c r="A7" s="10" t="s">
        <v>4</v>
      </c>
      <c r="B7" s="11" t="s">
        <v>5</v>
      </c>
      <c r="C7" s="12">
        <f>C9+C13+C26+C34+C40</f>
        <v>1206</v>
      </c>
      <c r="D7" s="12">
        <f>D9+D13+D26+D34+D40</f>
        <v>299</v>
      </c>
      <c r="E7" s="13">
        <f>C7+D7</f>
        <v>1505</v>
      </c>
    </row>
    <row r="8" spans="1:8" x14ac:dyDescent="0.3">
      <c r="A8" s="2"/>
      <c r="B8" s="2"/>
      <c r="C8" s="2"/>
      <c r="D8" s="2"/>
      <c r="E8" s="2"/>
    </row>
    <row r="9" spans="1:8" x14ac:dyDescent="0.3">
      <c r="A9" s="22" t="s">
        <v>6</v>
      </c>
      <c r="B9" s="5" t="s">
        <v>20</v>
      </c>
      <c r="C9" s="5">
        <f>C10</f>
        <v>100</v>
      </c>
      <c r="D9" s="7">
        <f>D10</f>
        <v>0</v>
      </c>
      <c r="E9" s="5">
        <v>100</v>
      </c>
    </row>
    <row r="10" spans="1:8" x14ac:dyDescent="0.3">
      <c r="A10" s="2"/>
      <c r="B10" s="2" t="s">
        <v>21</v>
      </c>
      <c r="C10" s="2">
        <v>100</v>
      </c>
      <c r="D10" s="9">
        <v>0</v>
      </c>
      <c r="E10" s="2"/>
    </row>
    <row r="11" spans="1:8" x14ac:dyDescent="0.3">
      <c r="A11" s="2"/>
      <c r="B11" s="2"/>
      <c r="C11" s="2"/>
      <c r="D11" s="2"/>
      <c r="E11" s="2"/>
    </row>
    <row r="12" spans="1:8" x14ac:dyDescent="0.3">
      <c r="A12" s="23" t="s">
        <v>22</v>
      </c>
      <c r="B12" s="3" t="s">
        <v>7</v>
      </c>
      <c r="C12" s="2"/>
      <c r="D12" s="2"/>
      <c r="E12" s="2"/>
    </row>
    <row r="13" spans="1:8" x14ac:dyDescent="0.3">
      <c r="A13" s="2"/>
      <c r="B13" s="4" t="s">
        <v>8</v>
      </c>
      <c r="C13" s="3">
        <f>SUM(C15:C24)</f>
        <v>923</v>
      </c>
      <c r="D13" s="3">
        <f>SUM(D15:D24)</f>
        <v>294</v>
      </c>
      <c r="E13" s="3">
        <f>C13+D13</f>
        <v>1217</v>
      </c>
      <c r="G13" s="18"/>
      <c r="H13" s="19"/>
    </row>
    <row r="14" spans="1:8" x14ac:dyDescent="0.3">
      <c r="A14" s="2"/>
      <c r="B14" s="2"/>
      <c r="C14" s="2"/>
      <c r="D14" s="2"/>
      <c r="E14" s="2"/>
      <c r="G14" s="18"/>
      <c r="H14" s="19"/>
    </row>
    <row r="15" spans="1:8" x14ac:dyDescent="0.3">
      <c r="A15" s="2"/>
      <c r="B15" s="6" t="s">
        <v>12</v>
      </c>
      <c r="C15" s="2">
        <v>416</v>
      </c>
      <c r="D15" s="2">
        <v>201</v>
      </c>
      <c r="E15" s="2">
        <f>C15+D15</f>
        <v>617</v>
      </c>
      <c r="F15" s="17"/>
      <c r="G15" s="109"/>
      <c r="H15" s="19"/>
    </row>
    <row r="16" spans="1:8" x14ac:dyDescent="0.3">
      <c r="A16" s="2"/>
      <c r="B16" s="6" t="s">
        <v>25</v>
      </c>
      <c r="C16" s="2">
        <v>40</v>
      </c>
      <c r="D16" s="2">
        <v>20</v>
      </c>
      <c r="E16" s="2">
        <f t="shared" ref="E16:E43" si="0">C16+D16</f>
        <v>60</v>
      </c>
      <c r="G16" s="109"/>
      <c r="H16" s="19"/>
    </row>
    <row r="17" spans="1:8" x14ac:dyDescent="0.3">
      <c r="A17" s="2"/>
      <c r="B17" s="6" t="s">
        <v>26</v>
      </c>
      <c r="C17" s="2">
        <v>55</v>
      </c>
      <c r="D17" s="2">
        <v>15</v>
      </c>
      <c r="E17" s="2">
        <f t="shared" si="0"/>
        <v>70</v>
      </c>
      <c r="G17" s="110"/>
      <c r="H17" s="19"/>
    </row>
    <row r="18" spans="1:8" x14ac:dyDescent="0.3">
      <c r="A18" s="2"/>
      <c r="B18" s="6" t="s">
        <v>27</v>
      </c>
      <c r="C18" s="2">
        <v>52</v>
      </c>
      <c r="D18" s="2">
        <v>18</v>
      </c>
      <c r="E18" s="2">
        <f t="shared" si="0"/>
        <v>70</v>
      </c>
      <c r="G18" s="110"/>
      <c r="H18" s="19"/>
    </row>
    <row r="19" spans="1:8" x14ac:dyDescent="0.3">
      <c r="A19" s="2"/>
      <c r="B19" s="6" t="s">
        <v>28</v>
      </c>
      <c r="C19" s="2">
        <v>52</v>
      </c>
      <c r="D19" s="9">
        <v>0</v>
      </c>
      <c r="E19" s="2">
        <f t="shared" si="0"/>
        <v>52</v>
      </c>
      <c r="G19" s="111"/>
      <c r="H19" s="19"/>
    </row>
    <row r="20" spans="1:8" x14ac:dyDescent="0.3">
      <c r="A20" s="2"/>
      <c r="B20" s="24" t="s">
        <v>33</v>
      </c>
      <c r="C20" s="2">
        <v>175</v>
      </c>
      <c r="D20" s="2">
        <v>25</v>
      </c>
      <c r="E20" s="2">
        <f t="shared" si="0"/>
        <v>200</v>
      </c>
      <c r="G20" s="111"/>
      <c r="H20" s="19"/>
    </row>
    <row r="21" spans="1:8" x14ac:dyDescent="0.3">
      <c r="A21" s="2"/>
      <c r="B21" s="24" t="s">
        <v>29</v>
      </c>
      <c r="C21" s="2">
        <v>30</v>
      </c>
      <c r="D21" s="16">
        <v>15</v>
      </c>
      <c r="E21" s="2">
        <f t="shared" si="0"/>
        <v>45</v>
      </c>
      <c r="G21" s="111"/>
      <c r="H21" s="19"/>
    </row>
    <row r="22" spans="1:8" x14ac:dyDescent="0.3">
      <c r="A22" s="2"/>
      <c r="B22" s="6" t="s">
        <v>30</v>
      </c>
      <c r="C22" s="2">
        <v>29</v>
      </c>
      <c r="D22" s="9">
        <v>0</v>
      </c>
      <c r="E22" s="2">
        <f t="shared" si="0"/>
        <v>29</v>
      </c>
      <c r="G22" s="111"/>
      <c r="H22" s="19"/>
    </row>
    <row r="23" spans="1:8" x14ac:dyDescent="0.3">
      <c r="A23" s="2"/>
      <c r="B23" s="6" t="s">
        <v>31</v>
      </c>
      <c r="C23" s="2">
        <v>44</v>
      </c>
      <c r="D23" s="9">
        <v>0</v>
      </c>
      <c r="E23" s="2">
        <f t="shared" si="0"/>
        <v>44</v>
      </c>
      <c r="G23" s="111"/>
      <c r="H23" s="19"/>
    </row>
    <row r="24" spans="1:8" x14ac:dyDescent="0.3">
      <c r="A24" s="2"/>
      <c r="B24" s="6" t="s">
        <v>32</v>
      </c>
      <c r="C24" s="2">
        <v>30</v>
      </c>
      <c r="D24" s="9">
        <v>0</v>
      </c>
      <c r="E24" s="2">
        <f t="shared" si="0"/>
        <v>30</v>
      </c>
      <c r="G24" s="111"/>
      <c r="H24" s="19"/>
    </row>
    <row r="25" spans="1:8" x14ac:dyDescent="0.3">
      <c r="A25" s="2"/>
      <c r="B25" s="2"/>
      <c r="C25" s="2"/>
      <c r="D25" s="2"/>
      <c r="E25" s="2"/>
    </row>
    <row r="26" spans="1:8" x14ac:dyDescent="0.3">
      <c r="A26" s="2"/>
      <c r="B26" s="4" t="s">
        <v>9</v>
      </c>
      <c r="C26" s="8">
        <f>SUM(C28:C32)</f>
        <v>159</v>
      </c>
      <c r="D26" s="8">
        <f>SUM(D28:D32)</f>
        <v>5</v>
      </c>
      <c r="E26" s="3">
        <f t="shared" si="0"/>
        <v>164</v>
      </c>
    </row>
    <row r="27" spans="1:8" x14ac:dyDescent="0.3">
      <c r="A27" s="2"/>
      <c r="B27" s="2"/>
      <c r="C27" s="2"/>
      <c r="D27" s="2"/>
      <c r="E27" s="2"/>
    </row>
    <row r="28" spans="1:8" x14ac:dyDescent="0.3">
      <c r="A28" s="2"/>
      <c r="B28" s="7" t="s">
        <v>12</v>
      </c>
      <c r="C28" s="25">
        <v>60</v>
      </c>
      <c r="D28" s="9">
        <v>5</v>
      </c>
      <c r="E28" s="2">
        <f t="shared" si="0"/>
        <v>65</v>
      </c>
    </row>
    <row r="29" spans="1:8" x14ac:dyDescent="0.3">
      <c r="A29" s="2"/>
      <c r="B29" s="7" t="s">
        <v>35</v>
      </c>
      <c r="C29" s="25">
        <v>45</v>
      </c>
      <c r="D29" s="9">
        <v>0</v>
      </c>
      <c r="E29" s="2">
        <f t="shared" si="0"/>
        <v>45</v>
      </c>
    </row>
    <row r="30" spans="1:8" x14ac:dyDescent="0.3">
      <c r="A30" s="2"/>
      <c r="B30" s="7" t="s">
        <v>36</v>
      </c>
      <c r="C30" s="25">
        <v>10</v>
      </c>
      <c r="D30" s="9">
        <v>0</v>
      </c>
      <c r="E30" s="2">
        <f t="shared" si="0"/>
        <v>10</v>
      </c>
    </row>
    <row r="31" spans="1:8" x14ac:dyDescent="0.3">
      <c r="A31" s="2"/>
      <c r="B31" s="7" t="s">
        <v>27</v>
      </c>
      <c r="C31" s="25">
        <v>20</v>
      </c>
      <c r="D31" s="9">
        <v>0</v>
      </c>
      <c r="E31" s="2">
        <f t="shared" si="0"/>
        <v>20</v>
      </c>
    </row>
    <row r="32" spans="1:8" x14ac:dyDescent="0.3">
      <c r="A32" s="2"/>
      <c r="B32" s="7" t="s">
        <v>28</v>
      </c>
      <c r="C32" s="25">
        <v>24</v>
      </c>
      <c r="D32" s="9">
        <v>0</v>
      </c>
      <c r="E32" s="2">
        <f t="shared" si="0"/>
        <v>24</v>
      </c>
    </row>
    <row r="33" spans="1:5" x14ac:dyDescent="0.3">
      <c r="A33" s="2"/>
      <c r="B33" s="2"/>
      <c r="C33" s="2"/>
      <c r="D33" s="2"/>
      <c r="E33" s="2"/>
    </row>
    <row r="34" spans="1:5" x14ac:dyDescent="0.3">
      <c r="A34" s="2"/>
      <c r="B34" s="4" t="s">
        <v>37</v>
      </c>
      <c r="C34" s="8">
        <f>SUM(C36:C38)</f>
        <v>14</v>
      </c>
      <c r="D34" s="8">
        <f>SUM(D36:D38)</f>
        <v>0</v>
      </c>
      <c r="E34" s="3">
        <f t="shared" si="0"/>
        <v>14</v>
      </c>
    </row>
    <row r="35" spans="1:5" x14ac:dyDescent="0.3">
      <c r="A35" s="2"/>
      <c r="B35" s="2"/>
      <c r="C35" s="2"/>
      <c r="D35" s="2"/>
      <c r="E35" s="2"/>
    </row>
    <row r="36" spans="1:5" x14ac:dyDescent="0.3">
      <c r="A36" s="2"/>
      <c r="B36" s="7" t="s">
        <v>23</v>
      </c>
      <c r="C36" s="25">
        <v>3</v>
      </c>
      <c r="D36" s="9">
        <v>0</v>
      </c>
      <c r="E36" s="2">
        <f t="shared" si="0"/>
        <v>3</v>
      </c>
    </row>
    <row r="37" spans="1:5" x14ac:dyDescent="0.3">
      <c r="A37" s="2"/>
      <c r="B37" s="7" t="s">
        <v>34</v>
      </c>
      <c r="C37" s="25">
        <v>8</v>
      </c>
      <c r="D37" s="9">
        <v>0</v>
      </c>
      <c r="E37" s="2">
        <f t="shared" si="0"/>
        <v>8</v>
      </c>
    </row>
    <row r="38" spans="1:5" x14ac:dyDescent="0.3">
      <c r="A38" s="2"/>
      <c r="B38" s="7" t="s">
        <v>24</v>
      </c>
      <c r="C38" s="25">
        <v>3</v>
      </c>
      <c r="D38" s="9">
        <v>0</v>
      </c>
      <c r="E38" s="2">
        <f t="shared" si="0"/>
        <v>3</v>
      </c>
    </row>
    <row r="39" spans="1:5" x14ac:dyDescent="0.3">
      <c r="A39" s="2"/>
      <c r="B39" s="7"/>
      <c r="C39" s="2"/>
      <c r="D39" s="2"/>
      <c r="E39" s="2"/>
    </row>
    <row r="40" spans="1:5" x14ac:dyDescent="0.3">
      <c r="A40" s="2"/>
      <c r="B40" s="28" t="s">
        <v>17</v>
      </c>
      <c r="C40" s="3">
        <f>SUM(C42:C43)</f>
        <v>10</v>
      </c>
      <c r="D40" s="3">
        <f>SUM(D42:D43)</f>
        <v>0</v>
      </c>
      <c r="E40" s="3">
        <f t="shared" si="0"/>
        <v>10</v>
      </c>
    </row>
    <row r="41" spans="1:5" x14ac:dyDescent="0.3">
      <c r="A41" s="2"/>
      <c r="B41" s="7"/>
      <c r="C41" s="2"/>
      <c r="D41" s="2"/>
      <c r="E41" s="2"/>
    </row>
    <row r="42" spans="1:5" x14ac:dyDescent="0.3">
      <c r="A42" s="2"/>
      <c r="B42" s="7" t="s">
        <v>23</v>
      </c>
      <c r="C42" s="2">
        <v>5</v>
      </c>
      <c r="D42" s="9">
        <v>0</v>
      </c>
      <c r="E42" s="2">
        <f t="shared" si="0"/>
        <v>5</v>
      </c>
    </row>
    <row r="43" spans="1:5" x14ac:dyDescent="0.3">
      <c r="A43" s="2"/>
      <c r="B43" s="7" t="s">
        <v>34</v>
      </c>
      <c r="C43" s="2">
        <v>5</v>
      </c>
      <c r="D43" s="9">
        <v>0</v>
      </c>
      <c r="E43" s="2">
        <f t="shared" si="0"/>
        <v>5</v>
      </c>
    </row>
    <row r="44" spans="1:5" x14ac:dyDescent="0.3">
      <c r="D44" s="29"/>
    </row>
    <row r="45" spans="1:5" x14ac:dyDescent="0.3">
      <c r="A45" s="14" t="s">
        <v>10</v>
      </c>
      <c r="B45" s="1" t="s">
        <v>11</v>
      </c>
      <c r="C45" s="15">
        <f>SUM(C47:C59)</f>
        <v>1206</v>
      </c>
      <c r="D45" s="15">
        <f>SUM(D47:D59)</f>
        <v>299</v>
      </c>
      <c r="E45" s="15">
        <f>SUM(E47:E59)</f>
        <v>1505</v>
      </c>
    </row>
    <row r="46" spans="1:5" x14ac:dyDescent="0.3">
      <c r="A46" s="2"/>
      <c r="B46" s="2"/>
      <c r="C46" s="2"/>
      <c r="D46" s="2"/>
      <c r="E46" s="2"/>
    </row>
    <row r="47" spans="1:5" x14ac:dyDescent="0.3">
      <c r="A47" s="2"/>
      <c r="B47" s="6" t="s">
        <v>12</v>
      </c>
      <c r="C47" s="26">
        <f>C42+C36+C28+C15</f>
        <v>484</v>
      </c>
      <c r="D47" s="27">
        <f>D15+D28</f>
        <v>206</v>
      </c>
      <c r="E47" s="27">
        <f>C47+D47</f>
        <v>690</v>
      </c>
    </row>
    <row r="48" spans="1:5" x14ac:dyDescent="0.3">
      <c r="A48" s="2"/>
      <c r="B48" s="7" t="s">
        <v>35</v>
      </c>
      <c r="C48" s="26">
        <f>C43+C37+C29</f>
        <v>58</v>
      </c>
      <c r="D48" s="27"/>
      <c r="E48" s="27">
        <f t="shared" ref="E48:E59" si="1">C48+D48</f>
        <v>58</v>
      </c>
    </row>
    <row r="49" spans="1:5" x14ac:dyDescent="0.3">
      <c r="A49" s="2"/>
      <c r="B49" s="6" t="s">
        <v>25</v>
      </c>
      <c r="C49" s="2">
        <f>C16</f>
        <v>40</v>
      </c>
      <c r="D49" s="2">
        <v>20</v>
      </c>
      <c r="E49" s="27">
        <f t="shared" si="1"/>
        <v>60</v>
      </c>
    </row>
    <row r="50" spans="1:5" x14ac:dyDescent="0.3">
      <c r="A50" s="2"/>
      <c r="B50" s="6" t="s">
        <v>26</v>
      </c>
      <c r="C50" s="2">
        <f>C17</f>
        <v>55</v>
      </c>
      <c r="D50" s="2">
        <v>15</v>
      </c>
      <c r="E50" s="27">
        <f t="shared" si="1"/>
        <v>70</v>
      </c>
    </row>
    <row r="51" spans="1:5" x14ac:dyDescent="0.3">
      <c r="A51" s="2"/>
      <c r="B51" s="7" t="s">
        <v>38</v>
      </c>
      <c r="C51" s="26">
        <f>C30</f>
        <v>10</v>
      </c>
      <c r="D51" s="2"/>
      <c r="E51" s="27">
        <f t="shared" si="1"/>
        <v>10</v>
      </c>
    </row>
    <row r="52" spans="1:5" x14ac:dyDescent="0.3">
      <c r="A52" s="2"/>
      <c r="B52" s="6" t="s">
        <v>27</v>
      </c>
      <c r="C52" s="26">
        <f>C31+C18</f>
        <v>72</v>
      </c>
      <c r="D52" s="2">
        <v>18</v>
      </c>
      <c r="E52" s="27">
        <f t="shared" si="1"/>
        <v>90</v>
      </c>
    </row>
    <row r="53" spans="1:5" x14ac:dyDescent="0.3">
      <c r="A53" s="2"/>
      <c r="B53" s="6" t="s">
        <v>28</v>
      </c>
      <c r="C53" s="26">
        <f>C38+C32+C19</f>
        <v>79</v>
      </c>
      <c r="D53" s="9">
        <v>0</v>
      </c>
      <c r="E53" s="27">
        <f t="shared" si="1"/>
        <v>79</v>
      </c>
    </row>
    <row r="54" spans="1:5" x14ac:dyDescent="0.3">
      <c r="A54" s="2"/>
      <c r="B54" s="24" t="s">
        <v>33</v>
      </c>
      <c r="C54" s="2">
        <f>C20</f>
        <v>175</v>
      </c>
      <c r="D54" s="2">
        <f>D20</f>
        <v>25</v>
      </c>
      <c r="E54" s="27">
        <f t="shared" si="1"/>
        <v>200</v>
      </c>
    </row>
    <row r="55" spans="1:5" x14ac:dyDescent="0.3">
      <c r="A55" s="2"/>
      <c r="B55" s="24" t="s">
        <v>29</v>
      </c>
      <c r="C55" s="2">
        <f>C21</f>
        <v>30</v>
      </c>
      <c r="D55" s="16">
        <v>15</v>
      </c>
      <c r="E55" s="27">
        <f t="shared" si="1"/>
        <v>45</v>
      </c>
    </row>
    <row r="56" spans="1:5" x14ac:dyDescent="0.3">
      <c r="A56" s="2"/>
      <c r="B56" s="6" t="s">
        <v>30</v>
      </c>
      <c r="C56" s="2">
        <f>C22</f>
        <v>29</v>
      </c>
      <c r="D56" s="9">
        <v>0</v>
      </c>
      <c r="E56" s="27">
        <f t="shared" si="1"/>
        <v>29</v>
      </c>
    </row>
    <row r="57" spans="1:5" x14ac:dyDescent="0.3">
      <c r="A57" s="2"/>
      <c r="B57" s="6" t="s">
        <v>31</v>
      </c>
      <c r="C57" s="2">
        <f>C23</f>
        <v>44</v>
      </c>
      <c r="D57" s="9">
        <v>0</v>
      </c>
      <c r="E57" s="27">
        <f t="shared" si="1"/>
        <v>44</v>
      </c>
    </row>
    <row r="58" spans="1:5" x14ac:dyDescent="0.3">
      <c r="A58" s="2"/>
      <c r="B58" s="6" t="s">
        <v>32</v>
      </c>
      <c r="C58" s="2">
        <f>C24</f>
        <v>30</v>
      </c>
      <c r="D58" s="9">
        <v>0</v>
      </c>
      <c r="E58" s="27">
        <f t="shared" si="1"/>
        <v>30</v>
      </c>
    </row>
    <row r="59" spans="1:5" x14ac:dyDescent="0.3">
      <c r="A59" s="2"/>
      <c r="B59" s="6" t="s">
        <v>39</v>
      </c>
      <c r="C59" s="2">
        <f>C10</f>
        <v>100</v>
      </c>
      <c r="D59" s="9">
        <v>0</v>
      </c>
      <c r="E59" s="27">
        <f t="shared" si="1"/>
        <v>100</v>
      </c>
    </row>
    <row r="61" spans="1:5" x14ac:dyDescent="0.3">
      <c r="A61" s="14" t="s">
        <v>13</v>
      </c>
      <c r="B61" s="1" t="s">
        <v>14</v>
      </c>
      <c r="C61" s="15">
        <f>SUM(C62:C66)</f>
        <v>3377</v>
      </c>
      <c r="D61" s="15">
        <f>SUM(D62:D66)</f>
        <v>839</v>
      </c>
      <c r="E61" s="15">
        <f>C61+D61</f>
        <v>4216</v>
      </c>
    </row>
    <row r="62" spans="1:5" x14ac:dyDescent="0.3">
      <c r="A62" s="30"/>
      <c r="B62" s="30"/>
      <c r="C62" s="9"/>
      <c r="D62" s="9"/>
      <c r="E62" s="9"/>
    </row>
    <row r="63" spans="1:5" x14ac:dyDescent="0.3">
      <c r="A63" s="31"/>
      <c r="B63" s="30" t="s">
        <v>15</v>
      </c>
      <c r="C63" s="9">
        <v>2537</v>
      </c>
      <c r="D63" s="9">
        <v>814</v>
      </c>
      <c r="E63" s="9">
        <f>C63+D63</f>
        <v>3351</v>
      </c>
    </row>
    <row r="64" spans="1:5" x14ac:dyDescent="0.3">
      <c r="A64" s="31"/>
      <c r="B64" s="30" t="s">
        <v>9</v>
      </c>
      <c r="C64" s="9">
        <f>300+180+40+80+96</f>
        <v>696</v>
      </c>
      <c r="D64" s="9">
        <v>25</v>
      </c>
      <c r="E64" s="9">
        <f>SUM(C64:D64)</f>
        <v>721</v>
      </c>
    </row>
    <row r="65" spans="1:5" x14ac:dyDescent="0.3">
      <c r="A65" s="31"/>
      <c r="B65" s="30" t="s">
        <v>40</v>
      </c>
      <c r="C65" s="9">
        <v>84</v>
      </c>
      <c r="D65" s="9" t="s">
        <v>16</v>
      </c>
      <c r="E65" s="9">
        <f t="shared" ref="E65:E66" si="2">C65</f>
        <v>84</v>
      </c>
    </row>
    <row r="66" spans="1:5" x14ac:dyDescent="0.3">
      <c r="A66" s="31"/>
      <c r="B66" s="30" t="s">
        <v>17</v>
      </c>
      <c r="C66" s="9">
        <v>60</v>
      </c>
      <c r="D66" s="9" t="s">
        <v>16</v>
      </c>
      <c r="E66" s="9">
        <f t="shared" si="2"/>
        <v>60</v>
      </c>
    </row>
    <row r="67" spans="1:5" x14ac:dyDescent="0.3">
      <c r="A67" s="30"/>
      <c r="B67" s="30"/>
      <c r="C67" s="9"/>
      <c r="D67" s="9"/>
      <c r="E67" s="9"/>
    </row>
    <row r="69" spans="1:5" x14ac:dyDescent="0.3">
      <c r="C69" s="134"/>
      <c r="D69" s="134"/>
      <c r="E69" s="134"/>
    </row>
    <row r="70" spans="1:5" x14ac:dyDescent="0.3">
      <c r="C70" s="20"/>
      <c r="D70" s="20"/>
      <c r="E70" s="20"/>
    </row>
    <row r="71" spans="1:5" x14ac:dyDescent="0.3">
      <c r="C71" s="20"/>
      <c r="D71" s="20"/>
      <c r="E71" s="20"/>
    </row>
    <row r="72" spans="1:5" x14ac:dyDescent="0.3">
      <c r="C72" s="20"/>
      <c r="D72" s="20"/>
      <c r="E72" s="20"/>
    </row>
    <row r="73" spans="1:5" x14ac:dyDescent="0.3">
      <c r="C73" s="144"/>
      <c r="D73" s="144"/>
      <c r="E73" s="144"/>
    </row>
    <row r="74" spans="1:5" x14ac:dyDescent="0.3">
      <c r="C74" s="134"/>
      <c r="D74" s="134"/>
      <c r="E74" s="134"/>
    </row>
    <row r="75" spans="1:5" x14ac:dyDescent="0.3">
      <c r="C75" s="134"/>
      <c r="D75" s="134"/>
      <c r="E75" s="134"/>
    </row>
  </sheetData>
  <mergeCells count="11">
    <mergeCell ref="C69:E69"/>
    <mergeCell ref="C73:E73"/>
    <mergeCell ref="C74:E74"/>
    <mergeCell ref="C75:E75"/>
    <mergeCell ref="C5:D5"/>
    <mergeCell ref="B5:B6"/>
    <mergeCell ref="A5:A6"/>
    <mergeCell ref="E5:E6"/>
    <mergeCell ref="A1:E1"/>
    <mergeCell ref="A2:E2"/>
    <mergeCell ref="A3:E3"/>
  </mergeCells>
  <pageMargins left="1.1023622047244095" right="0.70866141732283472" top="0.38" bottom="0.18" header="0.31496062992125984" footer="0.31496062992125984"/>
  <pageSetup paperSize="10000" scale="85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0"/>
  <sheetViews>
    <sheetView zoomScaleNormal="100" zoomScaleSheetLayoutView="110" workbookViewId="0">
      <selection activeCell="C7" sqref="C7:D7"/>
    </sheetView>
  </sheetViews>
  <sheetFormatPr defaultRowHeight="14.4" x14ac:dyDescent="0.3"/>
  <cols>
    <col min="1" max="1" width="5.109375" customWidth="1"/>
    <col min="2" max="2" width="26" bestFit="1" customWidth="1"/>
    <col min="3" max="3" width="15" bestFit="1" customWidth="1"/>
    <col min="4" max="4" width="16.33203125" bestFit="1" customWidth="1"/>
    <col min="5" max="5" width="14.5546875" customWidth="1"/>
  </cols>
  <sheetData>
    <row r="1" spans="1:5" x14ac:dyDescent="0.3">
      <c r="A1" s="148" t="s">
        <v>41</v>
      </c>
      <c r="B1" s="148"/>
      <c r="C1" s="148"/>
      <c r="D1" s="148"/>
      <c r="E1" s="148"/>
    </row>
    <row r="2" spans="1:5" x14ac:dyDescent="0.3">
      <c r="A2" s="148" t="s">
        <v>42</v>
      </c>
      <c r="B2" s="148"/>
      <c r="C2" s="148"/>
      <c r="D2" s="148"/>
      <c r="E2" s="148"/>
    </row>
    <row r="3" spans="1:5" x14ac:dyDescent="0.3">
      <c r="A3" s="148" t="s">
        <v>133</v>
      </c>
      <c r="B3" s="148"/>
      <c r="C3" s="148"/>
      <c r="D3" s="148"/>
      <c r="E3" s="148"/>
    </row>
    <row r="4" spans="1:5" x14ac:dyDescent="0.3">
      <c r="D4" s="21" t="s">
        <v>43</v>
      </c>
      <c r="E4" s="21" t="s">
        <v>44</v>
      </c>
    </row>
    <row r="5" spans="1:5" x14ac:dyDescent="0.3">
      <c r="D5" s="21"/>
      <c r="E5" s="21"/>
    </row>
    <row r="6" spans="1:5" x14ac:dyDescent="0.3">
      <c r="A6" s="149" t="s">
        <v>45</v>
      </c>
      <c r="B6" s="149" t="s">
        <v>46</v>
      </c>
      <c r="C6" s="150" t="s">
        <v>47</v>
      </c>
      <c r="D6" s="150"/>
      <c r="E6" s="32" t="s">
        <v>3</v>
      </c>
    </row>
    <row r="7" spans="1:5" ht="28.8" x14ac:dyDescent="0.3">
      <c r="A7" s="149"/>
      <c r="B7" s="149"/>
      <c r="C7" s="156" t="s">
        <v>145</v>
      </c>
      <c r="D7" s="156" t="s">
        <v>146</v>
      </c>
      <c r="E7" s="32" t="s">
        <v>48</v>
      </c>
    </row>
    <row r="8" spans="1:5" x14ac:dyDescent="0.3">
      <c r="A8" s="2">
        <v>1</v>
      </c>
      <c r="B8" s="2" t="s">
        <v>49</v>
      </c>
      <c r="C8" s="34">
        <v>638.01</v>
      </c>
      <c r="D8" s="34">
        <v>189.92399999999998</v>
      </c>
      <c r="E8" s="34">
        <v>827.93399999999997</v>
      </c>
    </row>
    <row r="9" spans="1:5" x14ac:dyDescent="0.3">
      <c r="A9" s="2">
        <v>2</v>
      </c>
      <c r="B9" s="2" t="s">
        <v>50</v>
      </c>
      <c r="C9" s="34">
        <v>675.64800000000002</v>
      </c>
      <c r="D9" s="34">
        <v>198.39</v>
      </c>
      <c r="E9" s="34">
        <v>874.03800000000001</v>
      </c>
    </row>
    <row r="10" spans="1:5" x14ac:dyDescent="0.3">
      <c r="A10" s="2">
        <v>3</v>
      </c>
      <c r="B10" s="2" t="s">
        <v>51</v>
      </c>
      <c r="C10" s="34">
        <v>282.33600000000001</v>
      </c>
      <c r="D10" s="34">
        <v>76.39800000000001</v>
      </c>
      <c r="E10" s="34">
        <v>358.73400000000004</v>
      </c>
    </row>
    <row r="11" spans="1:5" x14ac:dyDescent="0.3">
      <c r="A11" s="2">
        <v>4</v>
      </c>
      <c r="B11" s="2" t="s">
        <v>52</v>
      </c>
      <c r="C11" s="34">
        <v>408.51</v>
      </c>
      <c r="D11" s="34">
        <v>127.70400000000001</v>
      </c>
      <c r="E11" s="34">
        <v>536.21399999999994</v>
      </c>
    </row>
    <row r="12" spans="1:5" x14ac:dyDescent="0.3">
      <c r="A12" s="2">
        <v>5</v>
      </c>
      <c r="B12" s="2" t="s">
        <v>53</v>
      </c>
      <c r="C12" s="34">
        <v>833.5440000000001</v>
      </c>
      <c r="D12" s="34">
        <v>265.608</v>
      </c>
      <c r="E12" s="34">
        <v>1099.152</v>
      </c>
    </row>
    <row r="13" spans="1:5" x14ac:dyDescent="0.3">
      <c r="A13" s="2">
        <v>6</v>
      </c>
      <c r="B13" s="2" t="s">
        <v>54</v>
      </c>
      <c r="C13" s="34">
        <v>158.40600000000001</v>
      </c>
      <c r="D13" s="34">
        <v>45.39</v>
      </c>
      <c r="E13" s="34">
        <v>203.79599999999999</v>
      </c>
    </row>
    <row r="14" spans="1:5" x14ac:dyDescent="0.3">
      <c r="A14" s="2">
        <v>7</v>
      </c>
      <c r="B14" s="2" t="s">
        <v>55</v>
      </c>
      <c r="C14" s="34">
        <v>72.521999999999991</v>
      </c>
      <c r="D14" s="34">
        <v>18.053999999999998</v>
      </c>
      <c r="E14" s="34">
        <v>90.575999999999993</v>
      </c>
    </row>
    <row r="15" spans="1:5" x14ac:dyDescent="0.3">
      <c r="A15" s="2">
        <v>8</v>
      </c>
      <c r="B15" s="2" t="s">
        <v>56</v>
      </c>
      <c r="C15" s="34">
        <v>469.71</v>
      </c>
      <c r="D15" s="34">
        <v>123.012</v>
      </c>
      <c r="E15" s="34">
        <v>592.72199999999998</v>
      </c>
    </row>
    <row r="16" spans="1:5" x14ac:dyDescent="0.3">
      <c r="A16" s="2">
        <v>9</v>
      </c>
      <c r="B16" s="2" t="s">
        <v>57</v>
      </c>
      <c r="C16" s="34">
        <v>230.11200000000002</v>
      </c>
      <c r="D16" s="34">
        <v>56.915999999999997</v>
      </c>
      <c r="E16" s="34">
        <v>287.02800000000002</v>
      </c>
    </row>
    <row r="17" spans="1:5" x14ac:dyDescent="0.3">
      <c r="A17" s="2">
        <v>10</v>
      </c>
      <c r="B17" s="2" t="s">
        <v>58</v>
      </c>
      <c r="C17" s="34">
        <v>636.27599999999995</v>
      </c>
      <c r="D17" s="34">
        <v>165.54600000000002</v>
      </c>
      <c r="E17" s="34">
        <v>801.822</v>
      </c>
    </row>
    <row r="18" spans="1:5" x14ac:dyDescent="0.3">
      <c r="A18" s="2">
        <v>11</v>
      </c>
      <c r="B18" s="2" t="s">
        <v>59</v>
      </c>
      <c r="C18" s="34">
        <v>368.62800000000004</v>
      </c>
      <c r="D18" s="34">
        <v>92.31</v>
      </c>
      <c r="E18" s="34">
        <v>460.93800000000005</v>
      </c>
    </row>
    <row r="19" spans="1:5" x14ac:dyDescent="0.3">
      <c r="A19" s="2">
        <v>12</v>
      </c>
      <c r="B19" s="2" t="s">
        <v>60</v>
      </c>
      <c r="C19" s="34">
        <v>581.4</v>
      </c>
      <c r="D19" s="34">
        <v>165.95399999999998</v>
      </c>
      <c r="E19" s="34">
        <v>747.35399999999993</v>
      </c>
    </row>
    <row r="20" spans="1:5" x14ac:dyDescent="0.3">
      <c r="A20" s="2">
        <v>13</v>
      </c>
      <c r="B20" s="2" t="s">
        <v>61</v>
      </c>
      <c r="C20" s="34">
        <v>1251.336</v>
      </c>
      <c r="D20" s="34">
        <v>428.60399999999998</v>
      </c>
      <c r="E20" s="34">
        <v>1679.94</v>
      </c>
    </row>
    <row r="21" spans="1:5" x14ac:dyDescent="0.3">
      <c r="A21" s="2">
        <v>14</v>
      </c>
      <c r="B21" s="2" t="s">
        <v>62</v>
      </c>
      <c r="C21" s="34">
        <v>693.09</v>
      </c>
      <c r="D21" s="34">
        <v>131.58000000000001</v>
      </c>
      <c r="E21" s="34">
        <v>824.67000000000007</v>
      </c>
    </row>
    <row r="22" spans="1:5" x14ac:dyDescent="0.3">
      <c r="A22" s="2">
        <v>15</v>
      </c>
      <c r="B22" s="2" t="s">
        <v>63</v>
      </c>
      <c r="C22" s="34">
        <v>295.18800000000005</v>
      </c>
      <c r="D22" s="34">
        <v>48.96</v>
      </c>
      <c r="E22" s="34">
        <v>344.14800000000002</v>
      </c>
    </row>
    <row r="23" spans="1:5" x14ac:dyDescent="0.3">
      <c r="A23" s="2">
        <v>16</v>
      </c>
      <c r="B23" s="2" t="s">
        <v>64</v>
      </c>
      <c r="C23" s="34">
        <v>345.47399999999999</v>
      </c>
      <c r="D23" s="34">
        <v>92.004000000000005</v>
      </c>
      <c r="E23" s="34">
        <v>437.47800000000001</v>
      </c>
    </row>
    <row r="24" spans="1:5" x14ac:dyDescent="0.3">
      <c r="A24" s="2">
        <v>17</v>
      </c>
      <c r="B24" s="2" t="s">
        <v>65</v>
      </c>
      <c r="C24" s="34">
        <v>242.55600000000001</v>
      </c>
      <c r="D24" s="34">
        <v>60.588000000000001</v>
      </c>
      <c r="E24" s="34">
        <v>303.14400000000001</v>
      </c>
    </row>
    <row r="25" spans="1:5" x14ac:dyDescent="0.3">
      <c r="A25" s="2">
        <v>18</v>
      </c>
      <c r="B25" s="2" t="s">
        <v>66</v>
      </c>
      <c r="C25" s="34">
        <v>338.13</v>
      </c>
      <c r="D25" s="34">
        <v>63.137999999999998</v>
      </c>
      <c r="E25" s="34">
        <v>401.26799999999997</v>
      </c>
    </row>
    <row r="26" spans="1:5" x14ac:dyDescent="0.3">
      <c r="A26" s="2">
        <v>19</v>
      </c>
      <c r="B26" s="2" t="s">
        <v>67</v>
      </c>
      <c r="C26" s="34">
        <v>15.81</v>
      </c>
      <c r="D26" s="34">
        <v>2.448</v>
      </c>
      <c r="E26" s="34">
        <v>18.257999999999999</v>
      </c>
    </row>
    <row r="27" spans="1:5" x14ac:dyDescent="0.3">
      <c r="A27" s="2">
        <v>20</v>
      </c>
      <c r="B27" s="2" t="s">
        <v>68</v>
      </c>
      <c r="C27" s="34">
        <v>83.844000000000008</v>
      </c>
      <c r="D27" s="34">
        <v>20.91</v>
      </c>
      <c r="E27" s="34">
        <v>104.754</v>
      </c>
    </row>
    <row r="28" spans="1:5" x14ac:dyDescent="0.3">
      <c r="A28" s="2">
        <v>21</v>
      </c>
      <c r="B28" s="2" t="s">
        <v>69</v>
      </c>
      <c r="C28" s="34">
        <v>374.952</v>
      </c>
      <c r="D28" s="34">
        <v>138.92399999999998</v>
      </c>
      <c r="E28" s="34">
        <v>513.87599999999998</v>
      </c>
    </row>
    <row r="29" spans="1:5" x14ac:dyDescent="0.3">
      <c r="A29" s="2">
        <v>22</v>
      </c>
      <c r="B29" s="2" t="s">
        <v>70</v>
      </c>
      <c r="C29" s="34">
        <v>63.138000000000005</v>
      </c>
      <c r="D29" s="34">
        <v>22.542000000000002</v>
      </c>
      <c r="E29" s="34">
        <v>85.68</v>
      </c>
    </row>
    <row r="30" spans="1:5" x14ac:dyDescent="0.3">
      <c r="A30" s="2">
        <v>23</v>
      </c>
      <c r="B30" s="2" t="s">
        <v>71</v>
      </c>
      <c r="C30" s="34">
        <v>176.97</v>
      </c>
      <c r="D30" s="34">
        <v>21.012</v>
      </c>
      <c r="E30" s="34">
        <v>197.982</v>
      </c>
    </row>
    <row r="31" spans="1:5" x14ac:dyDescent="0.3">
      <c r="A31" s="2">
        <v>24</v>
      </c>
      <c r="B31" s="2" t="s">
        <v>72</v>
      </c>
      <c r="C31" s="34">
        <v>71.094000000000008</v>
      </c>
      <c r="D31" s="34">
        <v>16.422000000000001</v>
      </c>
      <c r="E31" s="34">
        <v>87.516000000000005</v>
      </c>
    </row>
    <row r="32" spans="1:5" x14ac:dyDescent="0.3">
      <c r="A32" s="2">
        <v>25</v>
      </c>
      <c r="B32" s="2" t="s">
        <v>73</v>
      </c>
      <c r="C32" s="34">
        <v>122.706</v>
      </c>
      <c r="D32" s="34">
        <v>22.337999999999997</v>
      </c>
      <c r="E32" s="34">
        <v>145.04400000000001</v>
      </c>
    </row>
    <row r="33" spans="1:5" x14ac:dyDescent="0.3">
      <c r="A33" s="2">
        <v>26</v>
      </c>
      <c r="B33" s="2" t="s">
        <v>74</v>
      </c>
      <c r="C33" s="34">
        <v>212.262</v>
      </c>
      <c r="D33" s="34">
        <v>18.87</v>
      </c>
      <c r="E33" s="34">
        <v>231.13200000000001</v>
      </c>
    </row>
    <row r="34" spans="1:5" x14ac:dyDescent="0.3">
      <c r="A34" s="2">
        <v>27</v>
      </c>
      <c r="B34" s="2" t="s">
        <v>75</v>
      </c>
      <c r="C34" s="34">
        <v>743.98799999999994</v>
      </c>
      <c r="D34" s="34">
        <v>174.11399999999998</v>
      </c>
      <c r="E34" s="34">
        <v>918.10199999999986</v>
      </c>
    </row>
    <row r="35" spans="1:5" x14ac:dyDescent="0.3">
      <c r="A35" s="2">
        <v>28</v>
      </c>
      <c r="B35" s="2" t="s">
        <v>76</v>
      </c>
      <c r="C35" s="34">
        <v>245.10600000000002</v>
      </c>
      <c r="D35" s="34">
        <v>92.208000000000013</v>
      </c>
      <c r="E35" s="34">
        <v>337.31400000000002</v>
      </c>
    </row>
    <row r="36" spans="1:5" x14ac:dyDescent="0.3">
      <c r="A36" s="2"/>
      <c r="B36" s="3" t="s">
        <v>77</v>
      </c>
      <c r="C36" s="34"/>
      <c r="D36" s="34"/>
      <c r="E36" s="34"/>
    </row>
    <row r="37" spans="1:5" x14ac:dyDescent="0.3">
      <c r="A37" s="2">
        <v>29</v>
      </c>
      <c r="B37" s="2" t="s">
        <v>78</v>
      </c>
      <c r="C37" s="34">
        <v>1426.9799999999998</v>
      </c>
      <c r="D37" s="34">
        <v>632.80799999999999</v>
      </c>
      <c r="E37" s="34">
        <v>2059.7879999999996</v>
      </c>
    </row>
    <row r="38" spans="1:5" x14ac:dyDescent="0.3">
      <c r="A38" s="2">
        <v>30</v>
      </c>
      <c r="B38" s="2" t="s">
        <v>79</v>
      </c>
      <c r="C38" s="34">
        <v>275.50200000000001</v>
      </c>
      <c r="D38" s="34">
        <v>98.124000000000009</v>
      </c>
      <c r="E38" s="34">
        <v>373.62600000000003</v>
      </c>
    </row>
    <row r="39" spans="1:5" x14ac:dyDescent="0.3">
      <c r="A39" s="2">
        <v>31</v>
      </c>
      <c r="B39" s="2" t="s">
        <v>80</v>
      </c>
      <c r="C39" s="34">
        <v>631.07399999999996</v>
      </c>
      <c r="D39" s="34">
        <v>235.41600000000003</v>
      </c>
      <c r="E39" s="34">
        <v>866.49</v>
      </c>
    </row>
    <row r="40" spans="1:5" x14ac:dyDescent="0.3">
      <c r="A40" s="2">
        <v>32</v>
      </c>
      <c r="B40" s="2" t="s">
        <v>81</v>
      </c>
      <c r="C40" s="34">
        <v>502.75800000000004</v>
      </c>
      <c r="D40" s="34">
        <v>194.00399999999999</v>
      </c>
      <c r="E40" s="34">
        <v>696.76200000000006</v>
      </c>
    </row>
    <row r="41" spans="1:5" x14ac:dyDescent="0.3">
      <c r="A41" s="2">
        <v>33</v>
      </c>
      <c r="B41" s="2" t="s">
        <v>82</v>
      </c>
      <c r="C41" s="34">
        <v>587.928</v>
      </c>
      <c r="D41" s="34">
        <v>178.29600000000002</v>
      </c>
      <c r="E41" s="34">
        <v>766.22400000000005</v>
      </c>
    </row>
    <row r="42" spans="1:5" x14ac:dyDescent="0.3">
      <c r="A42" s="2">
        <v>34</v>
      </c>
      <c r="B42" s="2" t="s">
        <v>83</v>
      </c>
      <c r="C42" s="34">
        <v>752.14800000000002</v>
      </c>
      <c r="D42" s="34">
        <v>377.91</v>
      </c>
      <c r="E42" s="34">
        <v>1130.058</v>
      </c>
    </row>
    <row r="43" spans="1:5" x14ac:dyDescent="0.3">
      <c r="A43" s="2">
        <v>35</v>
      </c>
      <c r="B43" s="2" t="s">
        <v>84</v>
      </c>
      <c r="C43" s="34">
        <v>337.416</v>
      </c>
      <c r="D43" s="34">
        <v>108.426</v>
      </c>
      <c r="E43" s="34">
        <v>445.84199999999998</v>
      </c>
    </row>
    <row r="44" spans="1:5" x14ac:dyDescent="0.3">
      <c r="A44" s="2">
        <v>36</v>
      </c>
      <c r="B44" s="2" t="s">
        <v>85</v>
      </c>
      <c r="C44" s="34">
        <v>260.50799999999998</v>
      </c>
      <c r="D44" s="34">
        <v>71.501999999999995</v>
      </c>
      <c r="E44" s="34">
        <v>332.01</v>
      </c>
    </row>
    <row r="45" spans="1:5" x14ac:dyDescent="0.3">
      <c r="A45" s="2">
        <v>37</v>
      </c>
      <c r="B45" s="2" t="s">
        <v>86</v>
      </c>
      <c r="C45" s="34">
        <v>1081.914</v>
      </c>
      <c r="D45" s="34">
        <v>0</v>
      </c>
      <c r="E45" s="34">
        <v>1081.914</v>
      </c>
    </row>
    <row r="46" spans="1:5" x14ac:dyDescent="0.3">
      <c r="A46" s="2">
        <v>38</v>
      </c>
      <c r="B46" s="2" t="s">
        <v>87</v>
      </c>
      <c r="C46" s="34">
        <v>406.77600000000001</v>
      </c>
      <c r="D46" s="34">
        <v>0</v>
      </c>
      <c r="E46" s="34">
        <v>406.77600000000001</v>
      </c>
    </row>
    <row r="47" spans="1:5" x14ac:dyDescent="0.3">
      <c r="A47" s="2"/>
      <c r="B47" s="3" t="s">
        <v>88</v>
      </c>
      <c r="C47" s="34"/>
      <c r="D47" s="34"/>
      <c r="E47" s="34"/>
    </row>
    <row r="48" spans="1:5" x14ac:dyDescent="0.3">
      <c r="A48" s="2">
        <v>39</v>
      </c>
      <c r="B48" s="2" t="s">
        <v>89</v>
      </c>
      <c r="C48" s="34">
        <v>180.846</v>
      </c>
      <c r="D48" s="34">
        <v>36.312000000000005</v>
      </c>
      <c r="E48" s="34">
        <v>217.15800000000002</v>
      </c>
    </row>
    <row r="49" spans="1:5" x14ac:dyDescent="0.3">
      <c r="A49" s="2">
        <v>40</v>
      </c>
      <c r="B49" s="2" t="s">
        <v>90</v>
      </c>
      <c r="C49" s="34">
        <v>296.51400000000001</v>
      </c>
      <c r="D49" s="34">
        <v>61.404000000000003</v>
      </c>
      <c r="E49" s="34">
        <v>357.91800000000001</v>
      </c>
    </row>
    <row r="50" spans="1:5" x14ac:dyDescent="0.3">
      <c r="A50" s="33"/>
      <c r="B50" s="35" t="s">
        <v>91</v>
      </c>
      <c r="C50" s="36">
        <v>17371.109999999997</v>
      </c>
      <c r="D50" s="36">
        <v>4874.0700000000006</v>
      </c>
      <c r="E50" s="36">
        <v>22245.18</v>
      </c>
    </row>
    <row r="52" spans="1:5" x14ac:dyDescent="0.3">
      <c r="C52" s="134"/>
      <c r="D52" s="134"/>
      <c r="E52" s="134"/>
    </row>
    <row r="53" spans="1:5" x14ac:dyDescent="0.3">
      <c r="C53" s="20"/>
      <c r="D53" s="20"/>
      <c r="E53" s="20"/>
    </row>
    <row r="54" spans="1:5" x14ac:dyDescent="0.3">
      <c r="C54" s="20"/>
      <c r="D54" s="20"/>
      <c r="E54" s="20"/>
    </row>
    <row r="55" spans="1:5" x14ac:dyDescent="0.3">
      <c r="C55" s="20"/>
      <c r="D55" s="20"/>
      <c r="E55" s="20"/>
    </row>
    <row r="56" spans="1:5" x14ac:dyDescent="0.3">
      <c r="C56" s="144"/>
      <c r="D56" s="144"/>
      <c r="E56" s="144"/>
    </row>
    <row r="57" spans="1:5" x14ac:dyDescent="0.3">
      <c r="C57" s="134"/>
      <c r="D57" s="134"/>
      <c r="E57" s="134"/>
    </row>
    <row r="58" spans="1:5" x14ac:dyDescent="0.3">
      <c r="C58" s="134"/>
      <c r="D58" s="134"/>
      <c r="E58" s="134"/>
    </row>
    <row r="59" spans="1:5" x14ac:dyDescent="0.3">
      <c r="C59" s="20"/>
      <c r="D59" s="20"/>
      <c r="E59" s="20"/>
    </row>
    <row r="60" spans="1:5" x14ac:dyDescent="0.3">
      <c r="C60" s="20"/>
      <c r="D60" s="20"/>
      <c r="E60" s="20"/>
    </row>
  </sheetData>
  <mergeCells count="10">
    <mergeCell ref="C52:E52"/>
    <mergeCell ref="C56:E56"/>
    <mergeCell ref="C57:E57"/>
    <mergeCell ref="C58:E58"/>
    <mergeCell ref="A1:E1"/>
    <mergeCell ref="A2:E2"/>
    <mergeCell ref="A3:E3"/>
    <mergeCell ref="A6:A7"/>
    <mergeCell ref="B6:B7"/>
    <mergeCell ref="C6:D6"/>
  </mergeCells>
  <pageMargins left="1.1200000000000001" right="0.7" top="0.75" bottom="0.75" header="0.3" footer="0.3"/>
  <pageSetup paperSize="1000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F083-FD6E-4760-8948-D74448DA6935}">
  <sheetPr>
    <pageSetUpPr fitToPage="1"/>
  </sheetPr>
  <dimension ref="A1:U62"/>
  <sheetViews>
    <sheetView zoomScale="70" zoomScaleNormal="70" zoomScaleSheetLayoutView="110" workbookViewId="0">
      <selection activeCell="C7" sqref="C7:D7"/>
    </sheetView>
  </sheetViews>
  <sheetFormatPr defaultRowHeight="14.4" x14ac:dyDescent="0.3"/>
  <cols>
    <col min="1" max="1" width="5.109375" customWidth="1"/>
    <col min="2" max="2" width="30.5546875" customWidth="1"/>
    <col min="3" max="3" width="20.109375" bestFit="1" customWidth="1"/>
    <col min="4" max="4" width="18.6640625" bestFit="1" customWidth="1"/>
    <col min="5" max="5" width="22.109375" bestFit="1" customWidth="1"/>
    <col min="7" max="7" width="12" bestFit="1" customWidth="1"/>
    <col min="9" max="9" width="8.88671875" style="19"/>
    <col min="10" max="10" width="11.21875" style="19" bestFit="1" customWidth="1"/>
    <col min="11" max="12" width="8.88671875" style="19"/>
    <col min="13" max="13" width="16.5546875" style="116" bestFit="1" customWidth="1"/>
    <col min="14" max="14" width="15.109375" style="116" bestFit="1" customWidth="1"/>
    <col min="15" max="15" width="15.44140625" style="116" bestFit="1" customWidth="1"/>
    <col min="16" max="16" width="13.44140625" style="19" bestFit="1" customWidth="1"/>
    <col min="17" max="17" width="30" style="19" bestFit="1" customWidth="1"/>
    <col min="18" max="18" width="12" style="19" bestFit="1" customWidth="1"/>
    <col min="20" max="20" width="30.21875" style="115" customWidth="1"/>
  </cols>
  <sheetData>
    <row r="1" spans="1:21" x14ac:dyDescent="0.3">
      <c r="A1" s="148" t="s">
        <v>138</v>
      </c>
      <c r="B1" s="148"/>
      <c r="C1" s="148"/>
      <c r="D1" s="148"/>
      <c r="E1" s="148"/>
    </row>
    <row r="2" spans="1:21" x14ac:dyDescent="0.3">
      <c r="A2" s="148" t="s">
        <v>42</v>
      </c>
      <c r="B2" s="148"/>
      <c r="C2" s="148"/>
      <c r="D2" s="148"/>
      <c r="E2" s="148"/>
      <c r="G2" s="118"/>
      <c r="H2" s="118"/>
      <c r="I2" s="118"/>
      <c r="J2" s="118"/>
      <c r="K2" s="118"/>
      <c r="L2" s="118"/>
      <c r="M2" s="120"/>
      <c r="N2" s="120"/>
      <c r="O2" s="120"/>
      <c r="P2" s="118"/>
      <c r="Q2" s="118"/>
      <c r="R2" s="118"/>
      <c r="S2" s="118"/>
      <c r="T2" s="119"/>
      <c r="U2" s="118"/>
    </row>
    <row r="3" spans="1:21" x14ac:dyDescent="0.3">
      <c r="A3" s="148" t="s">
        <v>133</v>
      </c>
      <c r="B3" s="148"/>
      <c r="C3" s="148"/>
      <c r="D3" s="148"/>
      <c r="E3" s="148"/>
      <c r="G3" s="118"/>
      <c r="H3" s="118"/>
      <c r="I3" s="118"/>
      <c r="J3" s="118"/>
      <c r="K3" s="118"/>
      <c r="L3" s="118"/>
      <c r="M3" s="120"/>
      <c r="N3" s="120"/>
      <c r="O3" s="120"/>
      <c r="P3" s="118"/>
      <c r="Q3" s="118"/>
      <c r="R3" s="118"/>
      <c r="S3" s="118"/>
      <c r="T3" s="119"/>
      <c r="U3" s="118"/>
    </row>
    <row r="4" spans="1:21" x14ac:dyDescent="0.3">
      <c r="D4" s="21" t="s">
        <v>43</v>
      </c>
      <c r="E4" s="21" t="s">
        <v>137</v>
      </c>
      <c r="G4" s="118"/>
      <c r="H4" s="118"/>
      <c r="I4" s="118"/>
      <c r="J4" s="118"/>
      <c r="K4" s="118"/>
      <c r="L4" s="118"/>
      <c r="M4" s="120"/>
      <c r="N4" s="120"/>
      <c r="O4" s="120"/>
      <c r="P4" s="118"/>
      <c r="Q4" s="118"/>
      <c r="R4" s="118"/>
      <c r="S4" s="118"/>
      <c r="T4" s="119"/>
      <c r="U4" s="118"/>
    </row>
    <row r="5" spans="1:21" x14ac:dyDescent="0.3">
      <c r="D5" s="21"/>
      <c r="E5" s="21"/>
      <c r="G5" s="118"/>
      <c r="H5" s="118"/>
      <c r="I5" s="118"/>
      <c r="J5" s="118"/>
      <c r="K5" s="118"/>
      <c r="L5" s="118"/>
      <c r="M5" s="120"/>
      <c r="N5" s="120"/>
      <c r="O5" s="120"/>
      <c r="P5" s="118"/>
      <c r="Q5" s="118"/>
      <c r="R5" s="118"/>
      <c r="S5" s="118"/>
      <c r="T5" s="119"/>
      <c r="U5" s="118"/>
    </row>
    <row r="6" spans="1:21" x14ac:dyDescent="0.3">
      <c r="A6" s="149" t="s">
        <v>45</v>
      </c>
      <c r="B6" s="149" t="s">
        <v>46</v>
      </c>
      <c r="C6" s="150" t="s">
        <v>47</v>
      </c>
      <c r="D6" s="150"/>
      <c r="E6" s="32" t="s">
        <v>3</v>
      </c>
      <c r="G6" s="118"/>
      <c r="H6" s="118"/>
      <c r="I6" s="118"/>
      <c r="J6" s="118"/>
      <c r="K6" s="118"/>
      <c r="L6" s="118"/>
      <c r="M6" s="120"/>
      <c r="N6" s="120"/>
      <c r="O6" s="120"/>
      <c r="P6" s="118"/>
      <c r="Q6" s="118"/>
      <c r="R6" s="118"/>
      <c r="S6" s="118"/>
      <c r="T6" s="119"/>
      <c r="U6" s="118"/>
    </row>
    <row r="7" spans="1:21" ht="28.8" x14ac:dyDescent="0.3">
      <c r="A7" s="149"/>
      <c r="B7" s="149"/>
      <c r="C7" s="156" t="s">
        <v>145</v>
      </c>
      <c r="D7" s="156" t="s">
        <v>146</v>
      </c>
      <c r="E7" s="32" t="s">
        <v>136</v>
      </c>
      <c r="G7" s="122"/>
      <c r="H7" s="118"/>
      <c r="I7" s="118"/>
      <c r="J7" s="118"/>
      <c r="K7" s="118"/>
      <c r="L7" s="118"/>
      <c r="M7" s="120"/>
      <c r="N7" s="120"/>
      <c r="O7" s="120"/>
      <c r="P7" s="118"/>
      <c r="Q7" s="118"/>
      <c r="R7" s="118"/>
      <c r="S7" s="118"/>
      <c r="T7" s="119"/>
      <c r="U7" s="118"/>
    </row>
    <row r="8" spans="1:21" x14ac:dyDescent="0.3">
      <c r="A8" s="2">
        <v>1</v>
      </c>
      <c r="B8" s="2" t="s">
        <v>49</v>
      </c>
      <c r="C8" s="34">
        <v>25520400</v>
      </c>
      <c r="D8" s="34">
        <v>7596959.9999999991</v>
      </c>
      <c r="E8" s="124">
        <v>33117360</v>
      </c>
      <c r="G8" s="122"/>
      <c r="H8" s="118"/>
      <c r="I8" s="118"/>
      <c r="J8" s="118"/>
      <c r="K8" s="118"/>
      <c r="L8" s="118"/>
      <c r="M8" s="120"/>
      <c r="N8" s="120"/>
      <c r="O8" s="120"/>
      <c r="P8" s="120"/>
      <c r="Q8" s="118"/>
      <c r="R8" s="119"/>
      <c r="S8" s="118"/>
      <c r="T8" s="121"/>
      <c r="U8" s="118"/>
    </row>
    <row r="9" spans="1:21" x14ac:dyDescent="0.3">
      <c r="A9" s="2">
        <v>2</v>
      </c>
      <c r="B9" s="2" t="s">
        <v>50</v>
      </c>
      <c r="C9" s="34">
        <v>30404160</v>
      </c>
      <c r="D9" s="34">
        <v>8927550</v>
      </c>
      <c r="E9" s="124">
        <v>39331710</v>
      </c>
      <c r="G9" s="122"/>
      <c r="H9" s="118"/>
      <c r="I9" s="118"/>
      <c r="J9" s="118"/>
      <c r="K9" s="118"/>
      <c r="L9" s="118"/>
      <c r="M9" s="120"/>
      <c r="N9" s="120"/>
      <c r="O9" s="120"/>
      <c r="P9" s="120"/>
      <c r="Q9" s="118"/>
      <c r="R9" s="119"/>
      <c r="S9" s="118"/>
      <c r="T9" s="121"/>
      <c r="U9" s="118"/>
    </row>
    <row r="10" spans="1:21" x14ac:dyDescent="0.3">
      <c r="A10" s="2">
        <v>3</v>
      </c>
      <c r="B10" s="2" t="s">
        <v>51</v>
      </c>
      <c r="C10" s="34">
        <v>33880320</v>
      </c>
      <c r="D10" s="34">
        <v>9167760.0000000019</v>
      </c>
      <c r="E10" s="124">
        <v>43048080.000000007</v>
      </c>
      <c r="G10" s="122"/>
      <c r="H10" s="118"/>
      <c r="I10" s="118"/>
      <c r="J10" s="118"/>
      <c r="K10" s="118"/>
      <c r="L10" s="118"/>
      <c r="M10" s="120"/>
      <c r="N10" s="120"/>
      <c r="O10" s="120"/>
      <c r="P10" s="120"/>
      <c r="Q10" s="118"/>
      <c r="R10" s="119"/>
      <c r="S10" s="118"/>
      <c r="T10" s="121"/>
      <c r="U10" s="118"/>
    </row>
    <row r="11" spans="1:21" x14ac:dyDescent="0.3">
      <c r="A11" s="2">
        <v>4</v>
      </c>
      <c r="B11" s="2" t="s">
        <v>52</v>
      </c>
      <c r="C11" s="34">
        <v>18382950</v>
      </c>
      <c r="D11" s="34">
        <v>5746680</v>
      </c>
      <c r="E11" s="124">
        <v>24129629.999999996</v>
      </c>
      <c r="G11" s="122"/>
      <c r="H11" s="118"/>
      <c r="I11" s="118"/>
      <c r="J11" s="118"/>
      <c r="K11" s="118"/>
      <c r="L11" s="118"/>
      <c r="M11" s="120"/>
      <c r="N11" s="120"/>
      <c r="O11" s="120"/>
      <c r="P11" s="120"/>
      <c r="Q11" s="118"/>
      <c r="R11" s="119"/>
      <c r="S11" s="118"/>
      <c r="T11" s="121"/>
      <c r="U11" s="118"/>
    </row>
    <row r="12" spans="1:21" x14ac:dyDescent="0.3">
      <c r="A12" s="2">
        <v>5</v>
      </c>
      <c r="B12" s="2" t="s">
        <v>53</v>
      </c>
      <c r="C12" s="34">
        <v>30007584.000000004</v>
      </c>
      <c r="D12" s="34">
        <v>9561888</v>
      </c>
      <c r="E12" s="124">
        <v>39569472</v>
      </c>
      <c r="G12" s="122"/>
      <c r="H12" s="118"/>
      <c r="I12" s="118"/>
      <c r="J12" s="118"/>
      <c r="K12" s="118"/>
      <c r="L12" s="118"/>
      <c r="M12" s="120"/>
      <c r="N12" s="120"/>
      <c r="O12" s="120"/>
      <c r="P12" s="120"/>
      <c r="Q12" s="118"/>
      <c r="R12" s="119"/>
      <c r="S12" s="118"/>
      <c r="T12" s="121"/>
      <c r="U12" s="118"/>
    </row>
    <row r="13" spans="1:21" x14ac:dyDescent="0.3">
      <c r="A13" s="2">
        <v>6</v>
      </c>
      <c r="B13" s="2" t="s">
        <v>54</v>
      </c>
      <c r="C13" s="34">
        <v>7920300</v>
      </c>
      <c r="D13" s="34">
        <v>2269500</v>
      </c>
      <c r="E13" s="124">
        <v>10189800</v>
      </c>
      <c r="G13" s="122"/>
      <c r="H13" s="118"/>
      <c r="I13" s="118"/>
      <c r="J13" s="118"/>
      <c r="K13" s="118"/>
      <c r="L13" s="118"/>
      <c r="M13" s="120"/>
      <c r="N13" s="120"/>
      <c r="O13" s="120"/>
      <c r="P13" s="120"/>
      <c r="Q13" s="118"/>
      <c r="R13" s="119"/>
      <c r="S13" s="118"/>
      <c r="T13" s="121"/>
      <c r="U13" s="118"/>
    </row>
    <row r="14" spans="1:21" x14ac:dyDescent="0.3">
      <c r="A14" s="2">
        <v>7</v>
      </c>
      <c r="B14" s="2" t="s">
        <v>55</v>
      </c>
      <c r="C14" s="34">
        <v>2900879.9999999995</v>
      </c>
      <c r="D14" s="34">
        <v>722159.99999999988</v>
      </c>
      <c r="E14" s="124">
        <v>3623039.9999999995</v>
      </c>
      <c r="G14" s="122"/>
      <c r="H14" s="118"/>
      <c r="I14" s="118"/>
      <c r="J14" s="118"/>
      <c r="K14" s="118"/>
      <c r="L14" s="118"/>
      <c r="M14" s="120"/>
      <c r="N14" s="120"/>
      <c r="O14" s="120"/>
      <c r="P14" s="120"/>
      <c r="Q14" s="118"/>
      <c r="R14" s="119"/>
      <c r="S14" s="118"/>
      <c r="T14" s="121"/>
      <c r="U14" s="118"/>
    </row>
    <row r="15" spans="1:21" x14ac:dyDescent="0.3">
      <c r="A15" s="2">
        <v>8</v>
      </c>
      <c r="B15" s="2" t="s">
        <v>56</v>
      </c>
      <c r="C15" s="34">
        <v>9394200</v>
      </c>
      <c r="D15" s="34">
        <v>2460240</v>
      </c>
      <c r="E15" s="124">
        <v>11854440</v>
      </c>
      <c r="G15" s="122"/>
      <c r="H15" s="118"/>
      <c r="I15" s="118"/>
      <c r="J15" s="118"/>
      <c r="K15" s="118"/>
      <c r="L15" s="118"/>
      <c r="M15" s="120"/>
      <c r="N15" s="120"/>
      <c r="O15" s="120"/>
      <c r="P15" s="120"/>
      <c r="Q15" s="118"/>
      <c r="R15" s="119"/>
      <c r="S15" s="118"/>
      <c r="T15" s="121"/>
      <c r="U15" s="118"/>
    </row>
    <row r="16" spans="1:21" x14ac:dyDescent="0.3">
      <c r="A16" s="2">
        <v>9</v>
      </c>
      <c r="B16" s="2" t="s">
        <v>57</v>
      </c>
      <c r="C16" s="34">
        <v>18408960</v>
      </c>
      <c r="D16" s="34">
        <v>4553280</v>
      </c>
      <c r="E16" s="124">
        <v>22962240</v>
      </c>
      <c r="G16" s="122"/>
      <c r="H16" s="118"/>
      <c r="I16" s="118"/>
      <c r="J16" s="118"/>
      <c r="K16" s="118"/>
      <c r="L16" s="118"/>
      <c r="M16" s="120"/>
      <c r="N16" s="120"/>
      <c r="O16" s="120"/>
      <c r="P16" s="120"/>
      <c r="Q16" s="118"/>
      <c r="R16" s="119"/>
      <c r="S16" s="118"/>
      <c r="T16" s="121"/>
      <c r="U16" s="118"/>
    </row>
    <row r="17" spans="1:21" x14ac:dyDescent="0.3">
      <c r="A17" s="2">
        <v>10</v>
      </c>
      <c r="B17" s="2" t="s">
        <v>58</v>
      </c>
      <c r="C17" s="34">
        <v>38176560</v>
      </c>
      <c r="D17" s="34">
        <v>9932760.0000000019</v>
      </c>
      <c r="E17" s="124">
        <v>48109320</v>
      </c>
      <c r="G17" s="122"/>
      <c r="H17" s="118"/>
      <c r="I17" s="118"/>
      <c r="J17" s="118"/>
      <c r="K17" s="118"/>
      <c r="L17" s="118"/>
      <c r="M17" s="120"/>
      <c r="N17" s="120"/>
      <c r="O17" s="120"/>
      <c r="P17" s="120"/>
      <c r="Q17" s="118"/>
      <c r="R17" s="119"/>
      <c r="S17" s="118"/>
      <c r="T17" s="121"/>
      <c r="U17" s="118"/>
    </row>
    <row r="18" spans="1:21" x14ac:dyDescent="0.3">
      <c r="A18" s="2">
        <v>11</v>
      </c>
      <c r="B18" s="2" t="s">
        <v>59</v>
      </c>
      <c r="C18" s="34">
        <v>8478444.0000000019</v>
      </c>
      <c r="D18" s="34">
        <v>2123130</v>
      </c>
      <c r="E18" s="124">
        <v>10601574.000000002</v>
      </c>
      <c r="G18" s="122"/>
      <c r="H18" s="118"/>
      <c r="I18" s="118"/>
      <c r="J18" s="118"/>
      <c r="K18" s="118"/>
      <c r="L18" s="118"/>
      <c r="M18" s="120"/>
      <c r="N18" s="120"/>
      <c r="O18" s="120"/>
      <c r="P18" s="120"/>
      <c r="Q18" s="118"/>
      <c r="R18" s="119"/>
      <c r="S18" s="118"/>
      <c r="T18" s="121"/>
      <c r="U18" s="118"/>
    </row>
    <row r="19" spans="1:21" x14ac:dyDescent="0.3">
      <c r="A19" s="2">
        <v>12</v>
      </c>
      <c r="B19" s="2" t="s">
        <v>60</v>
      </c>
      <c r="C19" s="34">
        <v>8721000</v>
      </c>
      <c r="D19" s="34">
        <v>2489309.9999999995</v>
      </c>
      <c r="E19" s="124">
        <v>11210309.999999998</v>
      </c>
      <c r="G19" s="122"/>
      <c r="H19" s="118"/>
      <c r="I19" s="118"/>
      <c r="J19" s="118"/>
      <c r="K19" s="118"/>
      <c r="L19" s="118"/>
      <c r="M19" s="120"/>
      <c r="N19" s="120"/>
      <c r="O19" s="120"/>
      <c r="P19" s="120"/>
      <c r="Q19" s="118"/>
      <c r="R19" s="119"/>
      <c r="S19" s="118"/>
      <c r="T19" s="121"/>
      <c r="U19" s="118"/>
    </row>
    <row r="20" spans="1:21" x14ac:dyDescent="0.3">
      <c r="A20" s="2">
        <v>13</v>
      </c>
      <c r="B20" s="2" t="s">
        <v>61</v>
      </c>
      <c r="C20" s="34">
        <v>18770040</v>
      </c>
      <c r="D20" s="34">
        <v>6429060</v>
      </c>
      <c r="E20" s="124">
        <v>25199100</v>
      </c>
      <c r="G20" s="122"/>
      <c r="H20" s="118"/>
      <c r="I20" s="118"/>
      <c r="J20" s="118"/>
      <c r="K20" s="118"/>
      <c r="L20" s="118"/>
      <c r="M20" s="120"/>
      <c r="N20" s="120"/>
      <c r="O20" s="120"/>
      <c r="P20" s="120"/>
      <c r="Q20" s="118"/>
      <c r="R20" s="119"/>
      <c r="S20" s="118"/>
      <c r="T20" s="121"/>
      <c r="U20" s="118"/>
    </row>
    <row r="21" spans="1:21" x14ac:dyDescent="0.3">
      <c r="A21" s="2">
        <v>14</v>
      </c>
      <c r="B21" s="2" t="s">
        <v>62</v>
      </c>
      <c r="C21" s="34">
        <v>20792700</v>
      </c>
      <c r="D21" s="34">
        <v>3947400.0000000005</v>
      </c>
      <c r="E21" s="124">
        <v>24740100.000000004</v>
      </c>
      <c r="G21" s="122"/>
      <c r="H21" s="118"/>
      <c r="I21" s="118"/>
      <c r="J21" s="118"/>
      <c r="K21" s="118"/>
      <c r="L21" s="118"/>
      <c r="M21" s="120"/>
      <c r="N21" s="120"/>
      <c r="O21" s="120"/>
      <c r="P21" s="120"/>
      <c r="Q21" s="118"/>
      <c r="R21" s="119"/>
      <c r="S21" s="118"/>
      <c r="T21" s="121"/>
      <c r="U21" s="118"/>
    </row>
    <row r="22" spans="1:21" x14ac:dyDescent="0.3">
      <c r="A22" s="2">
        <v>15</v>
      </c>
      <c r="B22" s="2" t="s">
        <v>63</v>
      </c>
      <c r="C22" s="34">
        <v>6494136.0000000009</v>
      </c>
      <c r="D22" s="34">
        <v>1077120</v>
      </c>
      <c r="E22" s="124">
        <v>7571256.0000000009</v>
      </c>
      <c r="G22" s="122"/>
      <c r="H22" s="118"/>
      <c r="I22" s="118"/>
      <c r="J22" s="118"/>
      <c r="K22" s="118"/>
      <c r="L22" s="118"/>
      <c r="M22" s="120"/>
      <c r="N22" s="120"/>
      <c r="O22" s="120"/>
      <c r="P22" s="120"/>
      <c r="Q22" s="118"/>
      <c r="R22" s="119"/>
      <c r="S22" s="118"/>
      <c r="T22" s="121"/>
      <c r="U22" s="118"/>
    </row>
    <row r="23" spans="1:21" x14ac:dyDescent="0.3">
      <c r="A23" s="2">
        <v>16</v>
      </c>
      <c r="B23" s="2" t="s">
        <v>64</v>
      </c>
      <c r="C23" s="34">
        <v>11055168</v>
      </c>
      <c r="D23" s="34">
        <v>2944128</v>
      </c>
      <c r="E23" s="124">
        <v>13999296</v>
      </c>
      <c r="G23" s="122"/>
      <c r="H23" s="118"/>
      <c r="I23" s="118"/>
      <c r="J23" s="118"/>
      <c r="K23" s="118"/>
      <c r="L23" s="118"/>
      <c r="M23" s="120"/>
      <c r="N23" s="120"/>
      <c r="O23" s="120"/>
      <c r="P23" s="120"/>
      <c r="Q23" s="118"/>
      <c r="R23" s="119"/>
      <c r="S23" s="118"/>
      <c r="T23" s="121"/>
      <c r="U23" s="118"/>
    </row>
    <row r="24" spans="1:21" x14ac:dyDescent="0.3">
      <c r="A24" s="2">
        <v>17</v>
      </c>
      <c r="B24" s="2" t="s">
        <v>65</v>
      </c>
      <c r="C24" s="34">
        <v>5336232</v>
      </c>
      <c r="D24" s="34">
        <v>1332936</v>
      </c>
      <c r="E24" s="124">
        <v>6669168</v>
      </c>
      <c r="G24" s="122"/>
      <c r="H24" s="118"/>
      <c r="I24" s="118"/>
      <c r="J24" s="118"/>
      <c r="K24" s="118"/>
      <c r="L24" s="118"/>
      <c r="M24" s="120"/>
      <c r="N24" s="120"/>
      <c r="O24" s="120"/>
      <c r="P24" s="120"/>
      <c r="Q24" s="118"/>
      <c r="R24" s="119"/>
      <c r="S24" s="118"/>
      <c r="T24" s="121"/>
      <c r="U24" s="118"/>
    </row>
    <row r="25" spans="1:21" x14ac:dyDescent="0.3">
      <c r="A25" s="2">
        <v>18</v>
      </c>
      <c r="B25" s="2" t="s">
        <v>66</v>
      </c>
      <c r="C25" s="34">
        <v>7438860</v>
      </c>
      <c r="D25" s="34">
        <v>1389036</v>
      </c>
      <c r="E25" s="124">
        <v>8827896</v>
      </c>
      <c r="G25" s="122"/>
      <c r="H25" s="118"/>
      <c r="I25" s="118"/>
      <c r="J25" s="118"/>
      <c r="K25" s="118"/>
      <c r="L25" s="118"/>
      <c r="M25" s="120"/>
      <c r="N25" s="120"/>
      <c r="O25" s="120"/>
      <c r="P25" s="120"/>
      <c r="Q25" s="118"/>
      <c r="R25" s="119"/>
      <c r="S25" s="118"/>
      <c r="T25" s="121"/>
      <c r="U25" s="118"/>
    </row>
    <row r="26" spans="1:21" x14ac:dyDescent="0.3">
      <c r="A26" s="2">
        <v>19</v>
      </c>
      <c r="B26" s="2" t="s">
        <v>67</v>
      </c>
      <c r="C26" s="34">
        <v>252960</v>
      </c>
      <c r="D26" s="34">
        <v>39168</v>
      </c>
      <c r="E26" s="124">
        <v>292128</v>
      </c>
      <c r="G26" s="122"/>
      <c r="H26" s="118"/>
      <c r="I26" s="118"/>
      <c r="J26" s="118"/>
      <c r="K26" s="118"/>
      <c r="L26" s="118"/>
      <c r="M26" s="120"/>
      <c r="N26" s="120"/>
      <c r="O26" s="120"/>
      <c r="P26" s="120"/>
      <c r="Q26" s="118"/>
      <c r="R26" s="119"/>
      <c r="S26" s="118"/>
      <c r="T26" s="121"/>
      <c r="U26" s="118"/>
    </row>
    <row r="27" spans="1:21" x14ac:dyDescent="0.3">
      <c r="A27" s="2">
        <v>20</v>
      </c>
      <c r="B27" s="2" t="s">
        <v>68</v>
      </c>
      <c r="C27" s="34">
        <v>1257660.0000000002</v>
      </c>
      <c r="D27" s="34">
        <v>313650</v>
      </c>
      <c r="E27" s="124">
        <v>1571310</v>
      </c>
      <c r="G27" s="122"/>
      <c r="H27" s="118"/>
      <c r="I27" s="118"/>
      <c r="J27" s="118"/>
      <c r="K27" s="118"/>
      <c r="L27" s="118"/>
      <c r="M27" s="120"/>
      <c r="N27" s="120"/>
      <c r="O27" s="120"/>
      <c r="P27" s="120"/>
      <c r="Q27" s="118"/>
      <c r="R27" s="119"/>
      <c r="S27" s="118"/>
      <c r="T27" s="121"/>
      <c r="U27" s="118"/>
    </row>
    <row r="28" spans="1:21" x14ac:dyDescent="0.3">
      <c r="A28" s="2">
        <v>21</v>
      </c>
      <c r="B28" s="2" t="s">
        <v>69</v>
      </c>
      <c r="C28" s="34">
        <v>11248560</v>
      </c>
      <c r="D28" s="34">
        <v>4167719.9999999995</v>
      </c>
      <c r="E28" s="124">
        <v>15416280</v>
      </c>
      <c r="G28" s="122"/>
      <c r="H28" s="118"/>
      <c r="I28" s="118"/>
      <c r="J28" s="118"/>
      <c r="K28" s="118"/>
      <c r="L28" s="118"/>
      <c r="M28" s="120"/>
      <c r="N28" s="120"/>
      <c r="O28" s="120"/>
      <c r="P28" s="120"/>
      <c r="Q28" s="118"/>
      <c r="R28" s="119"/>
      <c r="S28" s="118"/>
      <c r="T28" s="121"/>
      <c r="U28" s="118"/>
    </row>
    <row r="29" spans="1:21" x14ac:dyDescent="0.3">
      <c r="A29" s="2">
        <v>22</v>
      </c>
      <c r="B29" s="2" t="s">
        <v>70</v>
      </c>
      <c r="C29" s="34">
        <v>947070.00000000012</v>
      </c>
      <c r="D29" s="34">
        <v>338130</v>
      </c>
      <c r="E29" s="124">
        <v>1285200</v>
      </c>
      <c r="G29" s="122"/>
      <c r="H29" s="118"/>
      <c r="I29" s="118"/>
      <c r="J29" s="118"/>
      <c r="K29" s="118"/>
      <c r="L29" s="118"/>
      <c r="M29" s="120"/>
      <c r="N29" s="120"/>
      <c r="O29" s="120"/>
      <c r="P29" s="120"/>
      <c r="Q29" s="118"/>
      <c r="R29" s="119"/>
      <c r="S29" s="118"/>
      <c r="T29" s="121"/>
      <c r="U29" s="118"/>
    </row>
    <row r="30" spans="1:21" x14ac:dyDescent="0.3">
      <c r="A30" s="2">
        <v>23</v>
      </c>
      <c r="B30" s="2" t="s">
        <v>71</v>
      </c>
      <c r="C30" s="34">
        <v>3539400</v>
      </c>
      <c r="D30" s="34">
        <v>420240</v>
      </c>
      <c r="E30" s="124">
        <v>3959640</v>
      </c>
      <c r="G30" s="122"/>
      <c r="H30" s="118"/>
      <c r="I30" s="118"/>
      <c r="J30" s="118"/>
      <c r="K30" s="118"/>
      <c r="L30" s="118"/>
      <c r="M30" s="120"/>
      <c r="N30" s="120"/>
      <c r="O30" s="120"/>
      <c r="P30" s="120"/>
      <c r="Q30" s="118"/>
      <c r="R30" s="119"/>
      <c r="S30" s="118"/>
      <c r="T30" s="121"/>
      <c r="U30" s="118"/>
    </row>
    <row r="31" spans="1:21" x14ac:dyDescent="0.3">
      <c r="A31" s="2">
        <v>24</v>
      </c>
      <c r="B31" s="2" t="s">
        <v>72</v>
      </c>
      <c r="C31" s="34">
        <v>568752.00000000012</v>
      </c>
      <c r="D31" s="34">
        <v>131376</v>
      </c>
      <c r="E31" s="124">
        <v>700128</v>
      </c>
      <c r="G31" s="122"/>
      <c r="H31" s="118"/>
      <c r="I31" s="118"/>
      <c r="J31" s="118"/>
      <c r="K31" s="118"/>
      <c r="L31" s="118"/>
      <c r="M31" s="120"/>
      <c r="N31" s="120"/>
      <c r="O31" s="120"/>
      <c r="P31" s="120"/>
      <c r="Q31" s="118"/>
      <c r="R31" s="119"/>
      <c r="S31" s="118"/>
      <c r="T31" s="121"/>
      <c r="U31" s="118"/>
    </row>
    <row r="32" spans="1:21" x14ac:dyDescent="0.3">
      <c r="A32" s="2">
        <v>25</v>
      </c>
      <c r="B32" s="2" t="s">
        <v>73</v>
      </c>
      <c r="C32" s="34">
        <v>1840590</v>
      </c>
      <c r="D32" s="34">
        <v>335069.99999999994</v>
      </c>
      <c r="E32" s="124">
        <v>2175660</v>
      </c>
      <c r="G32" s="122"/>
      <c r="H32" s="118"/>
      <c r="I32" s="118"/>
      <c r="J32" s="118"/>
      <c r="K32" s="118"/>
      <c r="L32" s="118"/>
      <c r="M32" s="120"/>
      <c r="N32" s="120"/>
      <c r="O32" s="120"/>
      <c r="P32" s="120"/>
      <c r="Q32" s="118"/>
      <c r="R32" s="119"/>
      <c r="S32" s="118"/>
      <c r="T32" s="121"/>
      <c r="U32" s="118"/>
    </row>
    <row r="33" spans="1:21" x14ac:dyDescent="0.3">
      <c r="A33" s="2">
        <v>26</v>
      </c>
      <c r="B33" s="2" t="s">
        <v>74</v>
      </c>
      <c r="C33" s="34">
        <v>3396192</v>
      </c>
      <c r="D33" s="34">
        <v>301920</v>
      </c>
      <c r="E33" s="124">
        <v>3698112</v>
      </c>
      <c r="G33" s="122"/>
      <c r="H33" s="118"/>
      <c r="I33" s="118"/>
      <c r="J33" s="118"/>
      <c r="K33" s="118"/>
      <c r="L33" s="118"/>
      <c r="M33" s="120"/>
      <c r="N33" s="120"/>
      <c r="O33" s="120"/>
      <c r="P33" s="120"/>
      <c r="Q33" s="118"/>
      <c r="R33" s="119"/>
      <c r="S33" s="118"/>
      <c r="T33" s="121"/>
      <c r="U33" s="118"/>
    </row>
    <row r="34" spans="1:21" x14ac:dyDescent="0.3">
      <c r="A34" s="2">
        <v>27</v>
      </c>
      <c r="B34" s="2" t="s">
        <v>75</v>
      </c>
      <c r="C34" s="34">
        <v>5951904</v>
      </c>
      <c r="D34" s="34">
        <v>1392911.9999999998</v>
      </c>
      <c r="E34" s="124">
        <v>7344815.9999999991</v>
      </c>
      <c r="G34" s="122"/>
      <c r="H34" s="118"/>
      <c r="I34" s="118"/>
      <c r="J34" s="118"/>
      <c r="K34" s="118"/>
      <c r="L34" s="118"/>
      <c r="M34" s="120"/>
      <c r="N34" s="120"/>
      <c r="O34" s="120"/>
      <c r="P34" s="120"/>
      <c r="Q34" s="118"/>
      <c r="R34" s="119"/>
      <c r="S34" s="118"/>
      <c r="T34" s="121"/>
      <c r="U34" s="118"/>
    </row>
    <row r="35" spans="1:21" x14ac:dyDescent="0.3">
      <c r="A35" s="2">
        <v>28</v>
      </c>
      <c r="B35" s="2" t="s">
        <v>76</v>
      </c>
      <c r="C35" s="34">
        <v>1960848.0000000002</v>
      </c>
      <c r="D35" s="34">
        <v>737664.00000000012</v>
      </c>
      <c r="E35" s="124">
        <v>2698512</v>
      </c>
      <c r="G35" s="122"/>
      <c r="H35" s="118"/>
      <c r="I35" s="118"/>
      <c r="J35" s="118"/>
      <c r="K35" s="118"/>
      <c r="L35" s="118"/>
      <c r="M35" s="120"/>
      <c r="N35" s="120"/>
      <c r="O35" s="120"/>
      <c r="P35" s="120"/>
      <c r="Q35" s="118"/>
      <c r="R35" s="119"/>
      <c r="S35" s="118"/>
      <c r="T35" s="121"/>
      <c r="U35" s="118"/>
    </row>
    <row r="36" spans="1:21" x14ac:dyDescent="0.3">
      <c r="A36" s="2"/>
      <c r="B36" s="3" t="s">
        <v>77</v>
      </c>
      <c r="C36" s="34"/>
      <c r="D36" s="34"/>
      <c r="E36" s="124"/>
      <c r="G36" s="122"/>
      <c r="H36" s="118"/>
      <c r="I36" s="118"/>
      <c r="J36" s="118"/>
      <c r="K36" s="118"/>
      <c r="L36" s="118"/>
      <c r="M36" s="120"/>
      <c r="N36" s="120"/>
      <c r="O36" s="120"/>
      <c r="P36" s="120"/>
      <c r="Q36" s="118"/>
      <c r="R36" s="118"/>
      <c r="S36" s="118"/>
      <c r="T36" s="121"/>
      <c r="U36" s="118"/>
    </row>
    <row r="37" spans="1:21" x14ac:dyDescent="0.3">
      <c r="A37" s="2">
        <v>29</v>
      </c>
      <c r="B37" s="2" t="s">
        <v>78</v>
      </c>
      <c r="C37" s="34">
        <v>35674499.999999993</v>
      </c>
      <c r="D37" s="34">
        <v>15820200</v>
      </c>
      <c r="E37" s="124">
        <v>51494699.999999993</v>
      </c>
      <c r="G37" s="122"/>
      <c r="H37" s="118"/>
      <c r="I37" s="118"/>
      <c r="J37" s="118"/>
      <c r="K37" s="118"/>
      <c r="L37" s="118"/>
      <c r="M37" s="120"/>
      <c r="N37" s="120"/>
      <c r="O37" s="120"/>
      <c r="P37" s="120"/>
      <c r="Q37" s="118"/>
      <c r="R37" s="119"/>
      <c r="S37" s="118"/>
      <c r="T37" s="121"/>
      <c r="U37" s="118"/>
    </row>
    <row r="38" spans="1:21" x14ac:dyDescent="0.3">
      <c r="A38" s="2">
        <v>30</v>
      </c>
      <c r="B38" s="2" t="s">
        <v>79</v>
      </c>
      <c r="C38" s="34">
        <v>8265060</v>
      </c>
      <c r="D38" s="34">
        <v>2943720.0000000005</v>
      </c>
      <c r="E38" s="124">
        <v>11208780.000000002</v>
      </c>
      <c r="G38" s="122"/>
      <c r="H38" s="118"/>
      <c r="I38" s="118"/>
      <c r="J38" s="118"/>
      <c r="K38" s="118"/>
      <c r="L38" s="118"/>
      <c r="M38" s="120"/>
      <c r="N38" s="120"/>
      <c r="O38" s="120"/>
      <c r="P38" s="120"/>
      <c r="Q38" s="118"/>
      <c r="R38" s="119"/>
      <c r="S38" s="118"/>
      <c r="T38" s="121"/>
      <c r="U38" s="118"/>
    </row>
    <row r="39" spans="1:21" x14ac:dyDescent="0.3">
      <c r="A39" s="2">
        <v>31</v>
      </c>
      <c r="B39" s="2" t="s">
        <v>80</v>
      </c>
      <c r="C39" s="34">
        <v>18932220</v>
      </c>
      <c r="D39" s="34">
        <v>7062480.0000000009</v>
      </c>
      <c r="E39" s="124">
        <v>25994700</v>
      </c>
      <c r="G39" s="122"/>
      <c r="H39" s="118"/>
      <c r="I39" s="118"/>
      <c r="J39" s="118"/>
      <c r="K39" s="118"/>
      <c r="L39" s="118"/>
      <c r="M39" s="120"/>
      <c r="N39" s="120"/>
      <c r="O39" s="120"/>
      <c r="P39" s="120"/>
      <c r="Q39" s="118"/>
      <c r="R39" s="119"/>
      <c r="S39" s="118"/>
      <c r="T39" s="121"/>
      <c r="U39" s="118"/>
    </row>
    <row r="40" spans="1:21" x14ac:dyDescent="0.3">
      <c r="A40" s="2">
        <v>32</v>
      </c>
      <c r="B40" s="2" t="s">
        <v>81</v>
      </c>
      <c r="C40" s="34">
        <v>32679270.000000004</v>
      </c>
      <c r="D40" s="34">
        <v>12610260</v>
      </c>
      <c r="E40" s="124">
        <v>45289530</v>
      </c>
      <c r="G40" s="122"/>
      <c r="H40" s="118"/>
      <c r="I40" s="118"/>
      <c r="J40" s="118"/>
      <c r="K40" s="118"/>
      <c r="L40" s="118"/>
      <c r="M40" s="120"/>
      <c r="N40" s="120"/>
      <c r="O40" s="120"/>
      <c r="P40" s="120"/>
      <c r="Q40" s="118"/>
      <c r="R40" s="119"/>
      <c r="S40" s="118"/>
      <c r="T40" s="121"/>
      <c r="U40" s="118"/>
    </row>
    <row r="41" spans="1:21" x14ac:dyDescent="0.3">
      <c r="A41" s="2">
        <v>33</v>
      </c>
      <c r="B41" s="2" t="s">
        <v>82</v>
      </c>
      <c r="C41" s="34">
        <v>11758560</v>
      </c>
      <c r="D41" s="34">
        <v>3565920.0000000005</v>
      </c>
      <c r="E41" s="124">
        <v>15324480</v>
      </c>
      <c r="G41" s="122"/>
      <c r="H41" s="118"/>
      <c r="I41" s="118"/>
      <c r="J41" s="118"/>
      <c r="K41" s="118"/>
      <c r="L41" s="118"/>
      <c r="M41" s="120"/>
      <c r="N41" s="120"/>
      <c r="O41" s="120"/>
      <c r="P41" s="120"/>
      <c r="Q41" s="118"/>
      <c r="R41" s="119"/>
      <c r="S41" s="118"/>
      <c r="T41" s="121"/>
      <c r="U41" s="118"/>
    </row>
    <row r="42" spans="1:21" x14ac:dyDescent="0.3">
      <c r="A42" s="2">
        <v>34</v>
      </c>
      <c r="B42" s="2" t="s">
        <v>83</v>
      </c>
      <c r="C42" s="34">
        <v>6769332</v>
      </c>
      <c r="D42" s="34">
        <v>3401190</v>
      </c>
      <c r="E42" s="124">
        <v>10170522</v>
      </c>
      <c r="G42" s="122"/>
      <c r="H42" s="118"/>
      <c r="I42" s="118"/>
      <c r="J42" s="118"/>
      <c r="K42" s="118"/>
      <c r="L42" s="118"/>
      <c r="M42" s="120"/>
      <c r="N42" s="120"/>
      <c r="O42" s="120"/>
      <c r="P42" s="120"/>
      <c r="Q42" s="118"/>
      <c r="R42" s="119"/>
      <c r="S42" s="118"/>
      <c r="T42" s="121"/>
      <c r="U42" s="118"/>
    </row>
    <row r="43" spans="1:21" x14ac:dyDescent="0.3">
      <c r="A43" s="2">
        <v>35</v>
      </c>
      <c r="B43" s="2" t="s">
        <v>84</v>
      </c>
      <c r="C43" s="34">
        <v>33741600</v>
      </c>
      <c r="D43" s="34">
        <v>10842600</v>
      </c>
      <c r="E43" s="124">
        <v>44584200</v>
      </c>
      <c r="G43" s="122"/>
      <c r="H43" s="118"/>
      <c r="I43" s="118"/>
      <c r="J43" s="118"/>
      <c r="K43" s="118"/>
      <c r="L43" s="118"/>
      <c r="M43" s="120"/>
      <c r="N43" s="120"/>
      <c r="O43" s="120"/>
      <c r="P43" s="120"/>
      <c r="Q43" s="118"/>
      <c r="R43" s="119"/>
      <c r="S43" s="118"/>
      <c r="T43" s="121"/>
      <c r="U43" s="118"/>
    </row>
    <row r="44" spans="1:21" x14ac:dyDescent="0.3">
      <c r="A44" s="2">
        <v>36</v>
      </c>
      <c r="B44" s="2" t="s">
        <v>85</v>
      </c>
      <c r="C44" s="34">
        <v>10420320</v>
      </c>
      <c r="D44" s="34">
        <v>2860080</v>
      </c>
      <c r="E44" s="124">
        <v>13280400</v>
      </c>
      <c r="G44" s="122"/>
      <c r="H44" s="118"/>
      <c r="I44" s="118"/>
      <c r="J44" s="118"/>
      <c r="K44" s="118"/>
      <c r="L44" s="118"/>
      <c r="M44" s="120"/>
      <c r="N44" s="120"/>
      <c r="O44" s="120"/>
      <c r="P44" s="120"/>
      <c r="Q44" s="118"/>
      <c r="R44" s="119"/>
      <c r="S44" s="118"/>
      <c r="T44" s="121"/>
      <c r="U44" s="118"/>
    </row>
    <row r="45" spans="1:21" x14ac:dyDescent="0.3">
      <c r="A45" s="2">
        <v>37</v>
      </c>
      <c r="B45" s="2" t="s">
        <v>86</v>
      </c>
      <c r="C45" s="34">
        <v>21638280</v>
      </c>
      <c r="D45" s="34">
        <v>0</v>
      </c>
      <c r="E45" s="124">
        <v>21638280</v>
      </c>
      <c r="G45" s="122"/>
      <c r="H45" s="118"/>
      <c r="I45" s="118"/>
      <c r="J45" s="118"/>
      <c r="K45" s="118"/>
      <c r="L45" s="118"/>
      <c r="M45" s="120"/>
      <c r="N45" s="120"/>
      <c r="O45" s="120"/>
      <c r="P45" s="120"/>
      <c r="Q45" s="118"/>
      <c r="R45" s="119"/>
      <c r="S45" s="118"/>
      <c r="T45" s="121"/>
      <c r="U45" s="118"/>
    </row>
    <row r="46" spans="1:21" x14ac:dyDescent="0.3">
      <c r="A46" s="2">
        <v>38</v>
      </c>
      <c r="B46" s="2" t="s">
        <v>87</v>
      </c>
      <c r="C46" s="34">
        <v>4881312</v>
      </c>
      <c r="D46" s="34">
        <v>0</v>
      </c>
      <c r="E46" s="124">
        <v>4881312</v>
      </c>
      <c r="G46" s="122"/>
      <c r="H46" s="118"/>
      <c r="I46" s="118"/>
      <c r="J46" s="118"/>
      <c r="K46" s="118"/>
      <c r="L46" s="118"/>
      <c r="M46" s="120"/>
      <c r="N46" s="120"/>
      <c r="O46" s="120"/>
      <c r="P46" s="120"/>
      <c r="Q46" s="118"/>
      <c r="R46" s="119"/>
      <c r="S46" s="118"/>
      <c r="T46" s="121"/>
      <c r="U46" s="118"/>
    </row>
    <row r="47" spans="1:21" x14ac:dyDescent="0.3">
      <c r="A47" s="2"/>
      <c r="B47" s="3" t="s">
        <v>88</v>
      </c>
      <c r="C47" s="34"/>
      <c r="D47" s="34"/>
      <c r="E47" s="124"/>
      <c r="G47" s="122"/>
      <c r="H47" s="118"/>
      <c r="I47" s="118"/>
      <c r="J47" s="118"/>
      <c r="K47" s="118"/>
      <c r="L47" s="118"/>
      <c r="M47" s="120"/>
      <c r="N47" s="120"/>
      <c r="O47" s="120"/>
      <c r="P47" s="120"/>
      <c r="Q47" s="118"/>
      <c r="R47" s="119"/>
      <c r="S47" s="118"/>
      <c r="T47" s="121"/>
      <c r="U47" s="118"/>
    </row>
    <row r="48" spans="1:21" x14ac:dyDescent="0.3">
      <c r="A48" s="2">
        <v>39</v>
      </c>
      <c r="B48" s="2" t="s">
        <v>89</v>
      </c>
      <c r="C48" s="34">
        <v>5606226</v>
      </c>
      <c r="D48" s="34">
        <v>1125672.0000000002</v>
      </c>
      <c r="E48" s="124">
        <v>6731898.0000000009</v>
      </c>
      <c r="G48" s="122"/>
      <c r="H48" s="118"/>
      <c r="I48" s="118"/>
      <c r="J48" s="118"/>
      <c r="K48" s="118"/>
      <c r="L48" s="118"/>
      <c r="M48" s="120"/>
      <c r="N48" s="120"/>
      <c r="O48" s="120"/>
      <c r="P48" s="120"/>
      <c r="Q48" s="118"/>
      <c r="R48" s="119"/>
      <c r="S48" s="118"/>
      <c r="T48" s="121"/>
      <c r="U48" s="118"/>
    </row>
    <row r="49" spans="1:21" x14ac:dyDescent="0.3">
      <c r="A49" s="2">
        <v>40</v>
      </c>
      <c r="B49" s="2" t="s">
        <v>90</v>
      </c>
      <c r="C49" s="34">
        <v>6819822</v>
      </c>
      <c r="D49" s="34">
        <v>1412292</v>
      </c>
      <c r="E49" s="124">
        <v>8232114</v>
      </c>
      <c r="G49" s="122"/>
      <c r="H49" s="118"/>
      <c r="I49" s="118"/>
      <c r="J49" s="118"/>
      <c r="K49" s="118"/>
      <c r="L49" s="118"/>
      <c r="M49" s="120"/>
      <c r="N49" s="120"/>
      <c r="O49" s="120"/>
      <c r="P49" s="120"/>
      <c r="Q49" s="118"/>
      <c r="R49" s="119"/>
      <c r="S49" s="118"/>
      <c r="T49" s="121"/>
      <c r="U49" s="118"/>
    </row>
    <row r="50" spans="1:21" x14ac:dyDescent="0.3">
      <c r="A50" s="33"/>
      <c r="B50" s="35" t="s">
        <v>135</v>
      </c>
      <c r="C50" s="36">
        <f>SUM(C8:C49)</f>
        <v>530233332</v>
      </c>
      <c r="D50" s="36">
        <f>SUM(D8:D49)</f>
        <v>152493162</v>
      </c>
      <c r="E50" s="123">
        <f>SUM(E8:E49)</f>
        <v>682726494</v>
      </c>
      <c r="G50" s="122"/>
      <c r="H50" s="118"/>
      <c r="I50" s="118"/>
      <c r="J50" s="118"/>
      <c r="K50" s="118"/>
      <c r="L50" s="118"/>
      <c r="M50" s="120"/>
      <c r="N50" s="120"/>
      <c r="O50" s="120"/>
      <c r="P50" s="118"/>
      <c r="Q50" s="118"/>
      <c r="R50" s="118"/>
      <c r="S50" s="118"/>
      <c r="T50" s="121"/>
      <c r="U50" s="118"/>
    </row>
    <row r="51" spans="1:21" x14ac:dyDescent="0.3">
      <c r="G51" s="118"/>
      <c r="H51" s="118"/>
      <c r="I51" s="118"/>
      <c r="J51" s="118"/>
      <c r="K51" s="118"/>
      <c r="L51" s="118"/>
      <c r="M51" s="120"/>
      <c r="N51" s="120"/>
      <c r="O51" s="120"/>
      <c r="P51" s="118"/>
      <c r="Q51" s="118"/>
      <c r="R51" s="118"/>
      <c r="S51" s="118"/>
      <c r="T51" s="121"/>
      <c r="U51" s="118"/>
    </row>
    <row r="52" spans="1:21" x14ac:dyDescent="0.3">
      <c r="C52" s="20"/>
      <c r="D52" s="20"/>
      <c r="E52" s="20"/>
      <c r="G52" s="118"/>
      <c r="H52" s="118"/>
      <c r="I52" s="118"/>
      <c r="J52" s="118"/>
      <c r="K52" s="118"/>
      <c r="L52" s="118"/>
      <c r="M52" s="120"/>
      <c r="N52" s="120"/>
      <c r="O52" s="120"/>
      <c r="P52" s="118"/>
      <c r="Q52" s="118"/>
      <c r="R52" s="118"/>
      <c r="S52" s="118"/>
      <c r="T52" s="119"/>
      <c r="U52" s="118"/>
    </row>
    <row r="53" spans="1:21" x14ac:dyDescent="0.3">
      <c r="C53" s="134"/>
      <c r="D53" s="134"/>
      <c r="E53" s="134"/>
      <c r="G53" s="118"/>
      <c r="H53" s="118"/>
      <c r="I53" s="118"/>
      <c r="J53" s="118"/>
      <c r="K53" s="118"/>
      <c r="L53" s="118"/>
      <c r="M53" s="120"/>
      <c r="N53" s="120"/>
      <c r="O53" s="120"/>
      <c r="P53" s="118"/>
      <c r="Q53" s="118"/>
      <c r="R53" s="118"/>
      <c r="S53" s="118"/>
      <c r="T53" s="119"/>
      <c r="U53" s="118"/>
    </row>
    <row r="54" spans="1:21" x14ac:dyDescent="0.3">
      <c r="C54" s="134"/>
      <c r="D54" s="134"/>
      <c r="E54" s="134"/>
      <c r="G54" s="118"/>
      <c r="H54" s="118"/>
      <c r="I54" s="118"/>
      <c r="J54" s="118"/>
      <c r="K54" s="118"/>
      <c r="L54" s="118"/>
      <c r="M54" s="120"/>
      <c r="N54" s="120"/>
      <c r="O54" s="120"/>
      <c r="P54" s="118"/>
      <c r="Q54" s="118"/>
      <c r="R54" s="118"/>
      <c r="S54" s="118"/>
      <c r="T54" s="119"/>
      <c r="U54" s="118"/>
    </row>
    <row r="55" spans="1:21" x14ac:dyDescent="0.3">
      <c r="C55" s="20"/>
      <c r="D55" s="20"/>
      <c r="E55" s="20"/>
      <c r="G55" s="118"/>
      <c r="H55" s="118"/>
      <c r="I55" s="118"/>
      <c r="J55" s="118"/>
      <c r="K55" s="118"/>
      <c r="L55" s="118"/>
      <c r="M55" s="120"/>
      <c r="N55" s="120"/>
      <c r="O55" s="120"/>
      <c r="P55" s="118"/>
      <c r="Q55" s="118"/>
      <c r="R55" s="118"/>
      <c r="S55" s="118"/>
      <c r="T55" s="119"/>
      <c r="U55" s="118"/>
    </row>
    <row r="56" spans="1:21" x14ac:dyDescent="0.3">
      <c r="C56" s="20"/>
      <c r="D56" s="20"/>
      <c r="E56" s="20"/>
    </row>
    <row r="57" spans="1:21" x14ac:dyDescent="0.3">
      <c r="C57" s="20"/>
      <c r="D57" s="20"/>
      <c r="E57" s="117"/>
    </row>
    <row r="58" spans="1:21" x14ac:dyDescent="0.3">
      <c r="C58" s="144"/>
      <c r="D58" s="144"/>
      <c r="E58" s="144"/>
    </row>
    <row r="59" spans="1:21" x14ac:dyDescent="0.3">
      <c r="C59" s="134"/>
      <c r="D59" s="134"/>
      <c r="E59" s="134"/>
    </row>
    <row r="60" spans="1:21" x14ac:dyDescent="0.3">
      <c r="C60" s="134"/>
      <c r="D60" s="134"/>
      <c r="E60" s="134"/>
    </row>
    <row r="61" spans="1:21" x14ac:dyDescent="0.3">
      <c r="C61" s="20"/>
      <c r="D61" s="20"/>
      <c r="E61" s="20"/>
    </row>
    <row r="62" spans="1:21" x14ac:dyDescent="0.3">
      <c r="C62" s="20"/>
      <c r="D62" s="20"/>
      <c r="E62" s="20"/>
    </row>
  </sheetData>
  <mergeCells count="11">
    <mergeCell ref="C60:E60"/>
    <mergeCell ref="A1:E1"/>
    <mergeCell ref="A2:E2"/>
    <mergeCell ref="A3:E3"/>
    <mergeCell ref="A6:A7"/>
    <mergeCell ref="B6:B7"/>
    <mergeCell ref="C6:D6"/>
    <mergeCell ref="C53:E53"/>
    <mergeCell ref="C54:E54"/>
    <mergeCell ref="C58:E58"/>
    <mergeCell ref="C59:E59"/>
  </mergeCells>
  <pageMargins left="0.7" right="0.7" top="0.75" bottom="0.75" header="0.3" footer="0.3"/>
  <pageSetup paperSize="9" scale="91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4"/>
  <sheetViews>
    <sheetView zoomScale="80" zoomScaleNormal="80" zoomScaleSheetLayoutView="70" workbookViewId="0">
      <selection activeCell="D5" sqref="D5:P5"/>
    </sheetView>
  </sheetViews>
  <sheetFormatPr defaultRowHeight="14.4" x14ac:dyDescent="0.3"/>
  <cols>
    <col min="3" max="3" width="26.5546875" bestFit="1" customWidth="1"/>
    <col min="9" max="9" width="10.33203125" customWidth="1"/>
    <col min="10" max="10" width="9.77734375" customWidth="1"/>
    <col min="16" max="16" width="9.77734375" customWidth="1"/>
  </cols>
  <sheetData>
    <row r="1" spans="1:17" x14ac:dyDescent="0.3">
      <c r="A1" s="135" t="s">
        <v>132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x14ac:dyDescent="0.3">
      <c r="A2" s="135" t="s">
        <v>134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3">
      <c r="A4" s="136" t="s">
        <v>18</v>
      </c>
      <c r="B4" s="138" t="s">
        <v>92</v>
      </c>
      <c r="C4" s="139"/>
      <c r="D4" s="136" t="s">
        <v>93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 t="s">
        <v>3</v>
      </c>
    </row>
    <row r="5" spans="1:17" ht="48" x14ac:dyDescent="0.3">
      <c r="A5" s="137"/>
      <c r="B5" s="140"/>
      <c r="C5" s="141"/>
      <c r="D5" s="38" t="s">
        <v>143</v>
      </c>
      <c r="E5" s="38" t="s">
        <v>147</v>
      </c>
      <c r="F5" s="38" t="s">
        <v>148</v>
      </c>
      <c r="G5" s="125" t="s">
        <v>157</v>
      </c>
      <c r="H5" s="38" t="s">
        <v>144</v>
      </c>
      <c r="I5" s="125" t="s">
        <v>149</v>
      </c>
      <c r="J5" s="125" t="s">
        <v>150</v>
      </c>
      <c r="K5" s="38" t="s">
        <v>151</v>
      </c>
      <c r="L5" s="38" t="s">
        <v>152</v>
      </c>
      <c r="M5" s="38" t="s">
        <v>153</v>
      </c>
      <c r="N5" s="125" t="s">
        <v>154</v>
      </c>
      <c r="O5" s="38" t="s">
        <v>155</v>
      </c>
      <c r="P5" s="38" t="s">
        <v>156</v>
      </c>
      <c r="Q5" s="137"/>
    </row>
    <row r="6" spans="1:17" x14ac:dyDescent="0.3">
      <c r="A6" s="40">
        <v>1</v>
      </c>
      <c r="B6" s="142">
        <v>2</v>
      </c>
      <c r="C6" s="143"/>
      <c r="D6" s="40"/>
      <c r="E6" s="41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>
        <v>16</v>
      </c>
    </row>
    <row r="7" spans="1:17" x14ac:dyDescent="0.3">
      <c r="A7" s="42"/>
      <c r="B7" s="43"/>
      <c r="C7" s="44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x14ac:dyDescent="0.3">
      <c r="A8" s="45">
        <v>1</v>
      </c>
      <c r="B8" s="46" t="s">
        <v>94</v>
      </c>
      <c r="C8" s="47"/>
      <c r="D8" s="48">
        <f>D10</f>
        <v>17</v>
      </c>
      <c r="E8" s="48">
        <f t="shared" ref="E8:P8" si="0">E10</f>
        <v>124</v>
      </c>
      <c r="F8" s="48">
        <f t="shared" si="0"/>
        <v>123</v>
      </c>
      <c r="G8" s="48">
        <f t="shared" si="0"/>
        <v>95</v>
      </c>
      <c r="H8" s="48">
        <f t="shared" si="0"/>
        <v>114</v>
      </c>
      <c r="I8" s="48">
        <f t="shared" si="0"/>
        <v>116</v>
      </c>
      <c r="J8" s="48">
        <f t="shared" si="0"/>
        <v>96</v>
      </c>
      <c r="K8" s="48">
        <f t="shared" si="0"/>
        <v>78</v>
      </c>
      <c r="L8" s="48">
        <f t="shared" si="0"/>
        <v>70</v>
      </c>
      <c r="M8" s="48">
        <f t="shared" si="0"/>
        <v>59</v>
      </c>
      <c r="N8" s="48">
        <f t="shared" si="0"/>
        <v>45</v>
      </c>
      <c r="O8" s="48">
        <f t="shared" si="0"/>
        <v>50</v>
      </c>
      <c r="P8" s="48">
        <f t="shared" si="0"/>
        <v>49</v>
      </c>
      <c r="Q8" s="49">
        <f>SUM(D8:P8)</f>
        <v>1036</v>
      </c>
    </row>
    <row r="9" spans="1:17" x14ac:dyDescent="0.3">
      <c r="A9" s="50"/>
      <c r="B9" s="51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4"/>
    </row>
    <row r="10" spans="1:17" x14ac:dyDescent="0.3">
      <c r="A10" s="45" t="s">
        <v>22</v>
      </c>
      <c r="B10" s="46" t="s">
        <v>95</v>
      </c>
      <c r="C10" s="47"/>
      <c r="D10" s="55">
        <f>D12+D14</f>
        <v>17</v>
      </c>
      <c r="E10" s="48">
        <f t="shared" ref="E10:P10" si="1">E12+E14</f>
        <v>124</v>
      </c>
      <c r="F10" s="55">
        <f>F12+F14</f>
        <v>123</v>
      </c>
      <c r="G10" s="48">
        <f t="shared" si="1"/>
        <v>95</v>
      </c>
      <c r="H10" s="55">
        <f>H12+H14</f>
        <v>114</v>
      </c>
      <c r="I10" s="48">
        <f t="shared" si="1"/>
        <v>116</v>
      </c>
      <c r="J10" s="55">
        <f>J12+J14</f>
        <v>96</v>
      </c>
      <c r="K10" s="55">
        <f>K12+K14</f>
        <v>78</v>
      </c>
      <c r="L10" s="48">
        <f t="shared" si="1"/>
        <v>70</v>
      </c>
      <c r="M10" s="48">
        <f t="shared" si="1"/>
        <v>59</v>
      </c>
      <c r="N10" s="48">
        <f t="shared" si="1"/>
        <v>45</v>
      </c>
      <c r="O10" s="48">
        <f t="shared" si="1"/>
        <v>50</v>
      </c>
      <c r="P10" s="48">
        <f t="shared" si="1"/>
        <v>49</v>
      </c>
      <c r="Q10" s="49">
        <f>SUM(D10:P10)</f>
        <v>1036</v>
      </c>
    </row>
    <row r="11" spans="1:17" x14ac:dyDescent="0.3">
      <c r="A11" s="50"/>
      <c r="B11" s="51"/>
      <c r="C11" s="52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</row>
    <row r="12" spans="1:17" x14ac:dyDescent="0.3">
      <c r="A12" s="58"/>
      <c r="B12" s="59" t="s">
        <v>96</v>
      </c>
      <c r="C12" s="60" t="s">
        <v>97</v>
      </c>
      <c r="D12" s="61">
        <v>6</v>
      </c>
      <c r="E12" s="61">
        <v>60</v>
      </c>
      <c r="F12" s="61">
        <v>40</v>
      </c>
      <c r="G12" s="61">
        <v>20</v>
      </c>
      <c r="H12" s="61">
        <v>53</v>
      </c>
      <c r="I12" s="61">
        <v>53</v>
      </c>
      <c r="J12" s="61">
        <v>38</v>
      </c>
      <c r="K12" s="61">
        <v>30</v>
      </c>
      <c r="L12" s="61">
        <v>15</v>
      </c>
      <c r="M12" s="61">
        <v>7</v>
      </c>
      <c r="N12" s="61">
        <v>0</v>
      </c>
      <c r="O12" s="61">
        <v>0</v>
      </c>
      <c r="P12" s="61">
        <v>0</v>
      </c>
      <c r="Q12" s="61">
        <f t="shared" ref="Q12" si="2">SUM(D12:P12)</f>
        <v>322</v>
      </c>
    </row>
    <row r="13" spans="1:17" x14ac:dyDescent="0.3">
      <c r="A13" s="58"/>
      <c r="B13" s="59"/>
      <c r="C13" s="62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</row>
    <row r="14" spans="1:17" x14ac:dyDescent="0.3">
      <c r="A14" s="58"/>
      <c r="B14" s="59" t="s">
        <v>98</v>
      </c>
      <c r="C14" s="62" t="s">
        <v>129</v>
      </c>
      <c r="D14" s="61">
        <f t="shared" ref="D14:P14" si="3">SUM(D15:D18)</f>
        <v>11</v>
      </c>
      <c r="E14" s="61">
        <f t="shared" si="3"/>
        <v>64</v>
      </c>
      <c r="F14" s="61">
        <f t="shared" si="3"/>
        <v>83</v>
      </c>
      <c r="G14" s="61">
        <f t="shared" si="3"/>
        <v>75</v>
      </c>
      <c r="H14" s="61">
        <f t="shared" si="3"/>
        <v>61</v>
      </c>
      <c r="I14" s="61">
        <f t="shared" si="3"/>
        <v>63</v>
      </c>
      <c r="J14" s="61">
        <f t="shared" si="3"/>
        <v>58</v>
      </c>
      <c r="K14" s="61">
        <f t="shared" si="3"/>
        <v>48</v>
      </c>
      <c r="L14" s="61">
        <f t="shared" si="3"/>
        <v>55</v>
      </c>
      <c r="M14" s="61">
        <f t="shared" si="3"/>
        <v>52</v>
      </c>
      <c r="N14" s="61">
        <f t="shared" si="3"/>
        <v>45</v>
      </c>
      <c r="O14" s="61">
        <f t="shared" si="3"/>
        <v>50</v>
      </c>
      <c r="P14" s="61">
        <f t="shared" si="3"/>
        <v>49</v>
      </c>
      <c r="Q14" s="61">
        <f t="shared" ref="Q14:Q18" si="4">SUM(D14:P14)</f>
        <v>714</v>
      </c>
    </row>
    <row r="15" spans="1:17" x14ac:dyDescent="0.3">
      <c r="A15" s="58"/>
      <c r="B15" s="59">
        <v>1</v>
      </c>
      <c r="C15" s="62" t="s">
        <v>99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1">
        <v>0</v>
      </c>
    </row>
    <row r="16" spans="1:17" x14ac:dyDescent="0.3">
      <c r="A16" s="58"/>
      <c r="B16" s="59">
        <v>2</v>
      </c>
      <c r="C16" s="62" t="s">
        <v>100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1">
        <v>0</v>
      </c>
    </row>
    <row r="17" spans="1:17" x14ac:dyDescent="0.3">
      <c r="A17" s="58"/>
      <c r="B17" s="59"/>
      <c r="C17" s="62" t="s">
        <v>101</v>
      </c>
      <c r="D17" s="63">
        <v>0</v>
      </c>
      <c r="E17" s="63">
        <v>22</v>
      </c>
      <c r="F17" s="63">
        <v>25</v>
      </c>
      <c r="G17" s="63">
        <v>25</v>
      </c>
      <c r="H17" s="63">
        <v>27</v>
      </c>
      <c r="I17" s="63">
        <v>35</v>
      </c>
      <c r="J17" s="63">
        <v>26</v>
      </c>
      <c r="K17" s="63">
        <v>26</v>
      </c>
      <c r="L17" s="63">
        <v>29</v>
      </c>
      <c r="M17" s="63">
        <v>30</v>
      </c>
      <c r="N17" s="63">
        <v>30</v>
      </c>
      <c r="O17" s="63">
        <v>35</v>
      </c>
      <c r="P17" s="63">
        <v>25</v>
      </c>
      <c r="Q17" s="61">
        <f t="shared" si="4"/>
        <v>335</v>
      </c>
    </row>
    <row r="18" spans="1:17" x14ac:dyDescent="0.3">
      <c r="A18" s="58"/>
      <c r="B18" s="59"/>
      <c r="C18" s="62" t="s">
        <v>102</v>
      </c>
      <c r="D18" s="63">
        <v>11</v>
      </c>
      <c r="E18" s="63">
        <v>42</v>
      </c>
      <c r="F18" s="63">
        <v>58</v>
      </c>
      <c r="G18" s="63">
        <v>50</v>
      </c>
      <c r="H18" s="63">
        <v>34</v>
      </c>
      <c r="I18" s="63">
        <v>28</v>
      </c>
      <c r="J18" s="63">
        <v>32</v>
      </c>
      <c r="K18" s="63">
        <v>22</v>
      </c>
      <c r="L18" s="63">
        <v>26</v>
      </c>
      <c r="M18" s="63">
        <v>22</v>
      </c>
      <c r="N18" s="63">
        <v>15</v>
      </c>
      <c r="O18" s="63">
        <v>15</v>
      </c>
      <c r="P18" s="63">
        <v>24</v>
      </c>
      <c r="Q18" s="61">
        <f t="shared" si="4"/>
        <v>379</v>
      </c>
    </row>
    <row r="19" spans="1:17" x14ac:dyDescent="0.3">
      <c r="A19" s="50"/>
      <c r="B19" s="59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1"/>
    </row>
    <row r="20" spans="1:17" x14ac:dyDescent="0.3">
      <c r="A20" s="58"/>
      <c r="B20" s="59">
        <v>3</v>
      </c>
      <c r="C20" s="62" t="s">
        <v>103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1">
        <v>0</v>
      </c>
    </row>
    <row r="21" spans="1:17" x14ac:dyDescent="0.3">
      <c r="A21" s="50"/>
      <c r="B21" s="51"/>
      <c r="C21" s="52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4"/>
    </row>
    <row r="22" spans="1:17" x14ac:dyDescent="0.3">
      <c r="A22" s="45" t="s">
        <v>104</v>
      </c>
      <c r="B22" s="46" t="s">
        <v>105</v>
      </c>
      <c r="C22" s="47"/>
      <c r="D22" s="64">
        <f>SUM(D24:D29)</f>
        <v>17</v>
      </c>
      <c r="E22" s="64">
        <f t="shared" ref="E22:P22" si="5">SUM(E24:E29)</f>
        <v>124</v>
      </c>
      <c r="F22" s="64">
        <f t="shared" si="5"/>
        <v>123</v>
      </c>
      <c r="G22" s="64">
        <f t="shared" si="5"/>
        <v>95</v>
      </c>
      <c r="H22" s="64">
        <f t="shared" si="5"/>
        <v>114</v>
      </c>
      <c r="I22" s="64">
        <f t="shared" si="5"/>
        <v>116</v>
      </c>
      <c r="J22" s="64">
        <f t="shared" si="5"/>
        <v>96</v>
      </c>
      <c r="K22" s="64">
        <f t="shared" si="5"/>
        <v>78</v>
      </c>
      <c r="L22" s="64">
        <f t="shared" si="5"/>
        <v>70</v>
      </c>
      <c r="M22" s="64">
        <f t="shared" si="5"/>
        <v>59</v>
      </c>
      <c r="N22" s="64">
        <f t="shared" si="5"/>
        <v>45</v>
      </c>
      <c r="O22" s="64">
        <f t="shared" si="5"/>
        <v>50</v>
      </c>
      <c r="P22" s="64">
        <f t="shared" si="5"/>
        <v>49</v>
      </c>
      <c r="Q22" s="64">
        <f>SUM(D22:P22)</f>
        <v>1036</v>
      </c>
    </row>
    <row r="23" spans="1:17" x14ac:dyDescent="0.3">
      <c r="A23" s="50"/>
      <c r="B23" s="51"/>
      <c r="C23" s="52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6"/>
    </row>
    <row r="24" spans="1:17" x14ac:dyDescent="0.3">
      <c r="A24" s="58"/>
      <c r="B24" s="59">
        <v>1</v>
      </c>
      <c r="C24" s="62" t="s">
        <v>106</v>
      </c>
      <c r="D24" s="67">
        <v>0</v>
      </c>
      <c r="E24" s="67">
        <v>15</v>
      </c>
      <c r="F24" s="67">
        <v>18</v>
      </c>
      <c r="G24" s="67">
        <v>25</v>
      </c>
      <c r="H24" s="67">
        <v>15</v>
      </c>
      <c r="I24" s="67">
        <v>15</v>
      </c>
      <c r="J24" s="67">
        <v>0</v>
      </c>
      <c r="K24" s="67">
        <v>10</v>
      </c>
      <c r="L24" s="67">
        <v>10</v>
      </c>
      <c r="M24" s="67">
        <v>0</v>
      </c>
      <c r="N24" s="67">
        <v>0</v>
      </c>
      <c r="O24" s="67">
        <v>0</v>
      </c>
      <c r="P24" s="67">
        <v>5</v>
      </c>
      <c r="Q24" s="68">
        <f t="shared" ref="Q24:Q29" si="6">SUM(D24:P24)</f>
        <v>113</v>
      </c>
    </row>
    <row r="25" spans="1:17" x14ac:dyDescent="0.3">
      <c r="A25" s="58"/>
      <c r="B25" s="59">
        <v>2</v>
      </c>
      <c r="C25" s="62" t="s">
        <v>107</v>
      </c>
      <c r="D25" s="67">
        <v>17</v>
      </c>
      <c r="E25" s="67">
        <v>18</v>
      </c>
      <c r="F25" s="67">
        <v>45</v>
      </c>
      <c r="G25" s="67">
        <v>30</v>
      </c>
      <c r="H25" s="67">
        <v>45</v>
      </c>
      <c r="I25" s="67">
        <v>30</v>
      </c>
      <c r="J25" s="67">
        <v>35</v>
      </c>
      <c r="K25" s="67">
        <v>28</v>
      </c>
      <c r="L25" s="67">
        <v>0</v>
      </c>
      <c r="M25" s="67">
        <v>25</v>
      </c>
      <c r="N25" s="67">
        <v>30</v>
      </c>
      <c r="O25" s="67">
        <v>0</v>
      </c>
      <c r="P25" s="69">
        <v>10</v>
      </c>
      <c r="Q25" s="68">
        <f t="shared" si="6"/>
        <v>313</v>
      </c>
    </row>
    <row r="26" spans="1:17" x14ac:dyDescent="0.3">
      <c r="A26" s="58"/>
      <c r="B26" s="59">
        <v>3</v>
      </c>
      <c r="C26" s="62" t="s">
        <v>108</v>
      </c>
      <c r="D26" s="67">
        <v>0</v>
      </c>
      <c r="E26" s="67">
        <v>15</v>
      </c>
      <c r="F26" s="67">
        <v>20</v>
      </c>
      <c r="G26" s="67">
        <v>20</v>
      </c>
      <c r="H26" s="67">
        <v>24</v>
      </c>
      <c r="I26" s="67">
        <v>48</v>
      </c>
      <c r="J26" s="67">
        <v>20</v>
      </c>
      <c r="K26" s="67">
        <v>0</v>
      </c>
      <c r="L26" s="67">
        <v>22</v>
      </c>
      <c r="M26" s="67">
        <v>22</v>
      </c>
      <c r="N26" s="67">
        <v>0</v>
      </c>
      <c r="O26" s="67">
        <v>0</v>
      </c>
      <c r="P26" s="67">
        <v>0</v>
      </c>
      <c r="Q26" s="68">
        <f t="shared" si="6"/>
        <v>191</v>
      </c>
    </row>
    <row r="27" spans="1:17" x14ac:dyDescent="0.3">
      <c r="A27" s="58"/>
      <c r="B27" s="59">
        <v>4</v>
      </c>
      <c r="C27" s="62" t="s">
        <v>109</v>
      </c>
      <c r="D27" s="67">
        <v>0</v>
      </c>
      <c r="E27" s="67">
        <v>0</v>
      </c>
      <c r="F27" s="67">
        <v>10</v>
      </c>
      <c r="G27" s="67">
        <v>8</v>
      </c>
      <c r="H27" s="67">
        <v>0</v>
      </c>
      <c r="I27" s="67">
        <v>0</v>
      </c>
      <c r="J27" s="67">
        <v>10</v>
      </c>
      <c r="K27" s="67">
        <v>14</v>
      </c>
      <c r="L27" s="67">
        <v>16</v>
      </c>
      <c r="M27" s="67">
        <v>12</v>
      </c>
      <c r="N27" s="67">
        <v>5</v>
      </c>
      <c r="O27" s="67">
        <v>10</v>
      </c>
      <c r="P27" s="67">
        <v>4</v>
      </c>
      <c r="Q27" s="68">
        <f t="shared" si="6"/>
        <v>89</v>
      </c>
    </row>
    <row r="28" spans="1:17" x14ac:dyDescent="0.3">
      <c r="A28" s="70"/>
      <c r="B28" s="71">
        <v>5</v>
      </c>
      <c r="C28" s="72" t="s">
        <v>110</v>
      </c>
      <c r="D28" s="73">
        <v>0</v>
      </c>
      <c r="E28" s="73">
        <v>6</v>
      </c>
      <c r="F28" s="73">
        <v>10</v>
      </c>
      <c r="G28" s="73">
        <v>12</v>
      </c>
      <c r="H28" s="73">
        <v>10</v>
      </c>
      <c r="I28" s="73">
        <v>5</v>
      </c>
      <c r="J28" s="73">
        <v>21</v>
      </c>
      <c r="K28" s="73">
        <v>20</v>
      </c>
      <c r="L28" s="73">
        <v>12</v>
      </c>
      <c r="M28" s="74"/>
      <c r="N28" s="73">
        <v>10</v>
      </c>
      <c r="O28" s="73">
        <v>28</v>
      </c>
      <c r="P28" s="73">
        <v>30</v>
      </c>
      <c r="Q28" s="75">
        <f t="shared" si="6"/>
        <v>164</v>
      </c>
    </row>
    <row r="29" spans="1:17" x14ac:dyDescent="0.3">
      <c r="A29" s="58"/>
      <c r="B29" s="59">
        <v>6</v>
      </c>
      <c r="C29" s="62" t="s">
        <v>111</v>
      </c>
      <c r="D29" s="76">
        <v>0</v>
      </c>
      <c r="E29" s="76">
        <v>70</v>
      </c>
      <c r="F29" s="76">
        <v>20</v>
      </c>
      <c r="G29" s="76">
        <v>0</v>
      </c>
      <c r="H29" s="76">
        <v>20</v>
      </c>
      <c r="I29" s="76">
        <v>18</v>
      </c>
      <c r="J29" s="76">
        <v>10</v>
      </c>
      <c r="K29" s="76">
        <v>6</v>
      </c>
      <c r="L29" s="76">
        <v>10</v>
      </c>
      <c r="M29" s="76">
        <v>0</v>
      </c>
      <c r="N29" s="76">
        <v>0</v>
      </c>
      <c r="O29" s="76">
        <v>12</v>
      </c>
      <c r="P29" s="76">
        <v>0</v>
      </c>
      <c r="Q29" s="75">
        <f t="shared" si="6"/>
        <v>166</v>
      </c>
    </row>
    <row r="30" spans="1:17" x14ac:dyDescent="0.3">
      <c r="A30" s="50"/>
      <c r="B30" s="77"/>
      <c r="C30" s="78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66"/>
    </row>
    <row r="31" spans="1:17" x14ac:dyDescent="0.3">
      <c r="A31" s="80"/>
      <c r="B31" s="80"/>
      <c r="C31" s="81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3"/>
    </row>
    <row r="32" spans="1:17" x14ac:dyDescent="0.3">
      <c r="A32" s="77"/>
      <c r="B32" s="77"/>
      <c r="C32" s="78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5"/>
    </row>
    <row r="33" spans="1:17" x14ac:dyDescent="0.3">
      <c r="A33" s="77"/>
      <c r="B33" s="77"/>
      <c r="C33" s="78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</row>
    <row r="34" spans="1:17" x14ac:dyDescent="0.3">
      <c r="A34" s="77"/>
      <c r="B34" s="77"/>
      <c r="C34" s="78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</row>
    <row r="35" spans="1:17" x14ac:dyDescent="0.3">
      <c r="A35" s="77"/>
      <c r="B35" s="77"/>
      <c r="C35" s="78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</row>
    <row r="36" spans="1:17" x14ac:dyDescent="0.3">
      <c r="A36" s="77"/>
      <c r="B36" s="77"/>
      <c r="C36" s="78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5"/>
    </row>
    <row r="37" spans="1:17" x14ac:dyDescent="0.3">
      <c r="A37" s="45" t="s">
        <v>112</v>
      </c>
      <c r="B37" s="47" t="s">
        <v>113</v>
      </c>
      <c r="C37" s="86"/>
      <c r="D37" s="48">
        <f>SUM(D39:D44)</f>
        <v>17</v>
      </c>
      <c r="E37" s="48">
        <f t="shared" ref="E37:P37" si="7">SUM(E39:E44)</f>
        <v>124</v>
      </c>
      <c r="F37" s="48">
        <f t="shared" si="7"/>
        <v>123</v>
      </c>
      <c r="G37" s="48">
        <f t="shared" si="7"/>
        <v>95</v>
      </c>
      <c r="H37" s="48">
        <f t="shared" si="7"/>
        <v>114</v>
      </c>
      <c r="I37" s="48">
        <f t="shared" si="7"/>
        <v>116</v>
      </c>
      <c r="J37" s="48">
        <f t="shared" si="7"/>
        <v>96</v>
      </c>
      <c r="K37" s="48">
        <f t="shared" si="7"/>
        <v>78</v>
      </c>
      <c r="L37" s="48">
        <f t="shared" si="7"/>
        <v>70</v>
      </c>
      <c r="M37" s="48">
        <f t="shared" si="7"/>
        <v>59</v>
      </c>
      <c r="N37" s="48">
        <f t="shared" si="7"/>
        <v>45</v>
      </c>
      <c r="O37" s="48">
        <f t="shared" si="7"/>
        <v>50</v>
      </c>
      <c r="P37" s="48">
        <f t="shared" si="7"/>
        <v>49</v>
      </c>
      <c r="Q37" s="49">
        <f t="shared" ref="Q37:Q43" si="8">SUM(D37:P37)</f>
        <v>1036</v>
      </c>
    </row>
    <row r="38" spans="1:17" x14ac:dyDescent="0.3">
      <c r="A38" s="50"/>
      <c r="B38" s="51"/>
      <c r="C38" s="52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</row>
    <row r="39" spans="1:17" x14ac:dyDescent="0.3">
      <c r="A39" s="58"/>
      <c r="B39" s="59">
        <v>1</v>
      </c>
      <c r="C39" s="62" t="s">
        <v>106</v>
      </c>
      <c r="D39" s="67">
        <v>0</v>
      </c>
      <c r="E39" s="67">
        <v>15</v>
      </c>
      <c r="F39" s="67">
        <v>18</v>
      </c>
      <c r="G39" s="67">
        <v>25</v>
      </c>
      <c r="H39" s="67">
        <v>15</v>
      </c>
      <c r="I39" s="67">
        <v>15</v>
      </c>
      <c r="J39" s="67">
        <v>0</v>
      </c>
      <c r="K39" s="67">
        <v>10</v>
      </c>
      <c r="L39" s="67">
        <v>10</v>
      </c>
      <c r="M39" s="67">
        <v>0</v>
      </c>
      <c r="N39" s="67">
        <v>0</v>
      </c>
      <c r="O39" s="67">
        <v>0</v>
      </c>
      <c r="P39" s="67">
        <v>5</v>
      </c>
      <c r="Q39" s="87">
        <f t="shared" si="8"/>
        <v>113</v>
      </c>
    </row>
    <row r="40" spans="1:17" x14ac:dyDescent="0.3">
      <c r="A40" s="58"/>
      <c r="B40" s="59">
        <v>2</v>
      </c>
      <c r="C40" s="62" t="s">
        <v>107</v>
      </c>
      <c r="D40" s="67">
        <v>17</v>
      </c>
      <c r="E40" s="67">
        <v>18</v>
      </c>
      <c r="F40" s="67">
        <v>45</v>
      </c>
      <c r="G40" s="67">
        <v>30</v>
      </c>
      <c r="H40" s="67">
        <v>45</v>
      </c>
      <c r="I40" s="67">
        <v>30</v>
      </c>
      <c r="J40" s="67">
        <v>35</v>
      </c>
      <c r="K40" s="67">
        <v>28</v>
      </c>
      <c r="L40" s="67">
        <v>0</v>
      </c>
      <c r="M40" s="67">
        <v>25</v>
      </c>
      <c r="N40" s="67">
        <v>30</v>
      </c>
      <c r="O40" s="67">
        <v>0</v>
      </c>
      <c r="P40" s="69">
        <v>10</v>
      </c>
      <c r="Q40" s="87">
        <f t="shared" si="8"/>
        <v>313</v>
      </c>
    </row>
    <row r="41" spans="1:17" x14ac:dyDescent="0.3">
      <c r="A41" s="58"/>
      <c r="B41" s="59">
        <v>3</v>
      </c>
      <c r="C41" s="62" t="s">
        <v>108</v>
      </c>
      <c r="D41" s="67">
        <v>0</v>
      </c>
      <c r="E41" s="67">
        <v>15</v>
      </c>
      <c r="F41" s="67">
        <v>20</v>
      </c>
      <c r="G41" s="67">
        <v>20</v>
      </c>
      <c r="H41" s="67">
        <v>24</v>
      </c>
      <c r="I41" s="67">
        <v>48</v>
      </c>
      <c r="J41" s="67">
        <v>20</v>
      </c>
      <c r="K41" s="67">
        <v>0</v>
      </c>
      <c r="L41" s="67">
        <v>22</v>
      </c>
      <c r="M41" s="67">
        <v>22</v>
      </c>
      <c r="N41" s="67">
        <v>0</v>
      </c>
      <c r="O41" s="67">
        <v>0</v>
      </c>
      <c r="P41" s="67">
        <v>0</v>
      </c>
      <c r="Q41" s="87">
        <f t="shared" si="8"/>
        <v>191</v>
      </c>
    </row>
    <row r="42" spans="1:17" x14ac:dyDescent="0.3">
      <c r="A42" s="58"/>
      <c r="B42" s="59">
        <v>4</v>
      </c>
      <c r="C42" s="62" t="s">
        <v>109</v>
      </c>
      <c r="D42" s="67">
        <v>0</v>
      </c>
      <c r="E42" s="67">
        <v>0</v>
      </c>
      <c r="F42" s="67">
        <v>10</v>
      </c>
      <c r="G42" s="67">
        <v>8</v>
      </c>
      <c r="H42" s="67">
        <v>0</v>
      </c>
      <c r="I42" s="67">
        <v>0</v>
      </c>
      <c r="J42" s="67">
        <v>10</v>
      </c>
      <c r="K42" s="67">
        <v>14</v>
      </c>
      <c r="L42" s="67">
        <v>16</v>
      </c>
      <c r="M42" s="67">
        <v>12</v>
      </c>
      <c r="N42" s="67">
        <v>5</v>
      </c>
      <c r="O42" s="67">
        <v>10</v>
      </c>
      <c r="P42" s="67">
        <v>4</v>
      </c>
      <c r="Q42" s="88">
        <f t="shared" si="8"/>
        <v>89</v>
      </c>
    </row>
    <row r="43" spans="1:17" x14ac:dyDescent="0.3">
      <c r="A43" s="70"/>
      <c r="B43" s="71">
        <v>5</v>
      </c>
      <c r="C43" s="72" t="s">
        <v>110</v>
      </c>
      <c r="D43" s="73">
        <v>0</v>
      </c>
      <c r="E43" s="73">
        <v>6</v>
      </c>
      <c r="F43" s="73">
        <v>10</v>
      </c>
      <c r="G43" s="73">
        <v>12</v>
      </c>
      <c r="H43" s="73">
        <v>10</v>
      </c>
      <c r="I43" s="73">
        <v>5</v>
      </c>
      <c r="J43" s="73">
        <v>21</v>
      </c>
      <c r="K43" s="73">
        <v>20</v>
      </c>
      <c r="L43" s="73">
        <v>12</v>
      </c>
      <c r="M43" s="74"/>
      <c r="N43" s="73">
        <v>10</v>
      </c>
      <c r="O43" s="73">
        <v>28</v>
      </c>
      <c r="P43" s="73">
        <v>30</v>
      </c>
      <c r="Q43" s="88">
        <f t="shared" si="8"/>
        <v>164</v>
      </c>
    </row>
    <row r="44" spans="1:17" x14ac:dyDescent="0.3">
      <c r="A44" s="70"/>
      <c r="B44" s="59">
        <v>6</v>
      </c>
      <c r="C44" s="62" t="s">
        <v>111</v>
      </c>
      <c r="D44" s="76">
        <v>0</v>
      </c>
      <c r="E44" s="76">
        <v>70</v>
      </c>
      <c r="F44" s="76">
        <v>20</v>
      </c>
      <c r="G44" s="76">
        <v>0</v>
      </c>
      <c r="H44" s="76">
        <v>20</v>
      </c>
      <c r="I44" s="76">
        <v>18</v>
      </c>
      <c r="J44" s="76">
        <v>10</v>
      </c>
      <c r="K44" s="76">
        <v>6</v>
      </c>
      <c r="L44" s="76">
        <v>10</v>
      </c>
      <c r="M44" s="76">
        <v>0</v>
      </c>
      <c r="N44" s="76">
        <v>0</v>
      </c>
      <c r="O44" s="76">
        <v>12</v>
      </c>
      <c r="P44" s="76">
        <v>0</v>
      </c>
      <c r="Q44" s="89">
        <f>SUM(D44:P44)</f>
        <v>166</v>
      </c>
    </row>
    <row r="45" spans="1:17" x14ac:dyDescent="0.3">
      <c r="A45" s="108"/>
      <c r="B45" s="112"/>
      <c r="C45" s="113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114"/>
    </row>
    <row r="47" spans="1:17" x14ac:dyDescent="0.3">
      <c r="N47" s="134"/>
      <c r="O47" s="134"/>
      <c r="P47" s="134"/>
    </row>
    <row r="48" spans="1:17" x14ac:dyDescent="0.3">
      <c r="N48" s="134"/>
      <c r="O48" s="134"/>
      <c r="P48" s="134"/>
    </row>
    <row r="49" spans="14:16" x14ac:dyDescent="0.3">
      <c r="N49" s="20"/>
      <c r="O49" s="20"/>
      <c r="P49" s="20"/>
    </row>
    <row r="50" spans="14:16" x14ac:dyDescent="0.3">
      <c r="N50" s="20"/>
      <c r="O50" s="20"/>
      <c r="P50" s="20"/>
    </row>
    <row r="51" spans="14:16" x14ac:dyDescent="0.3">
      <c r="N51" s="20"/>
      <c r="O51" s="20"/>
      <c r="P51" s="20"/>
    </row>
    <row r="52" spans="14:16" x14ac:dyDescent="0.3">
      <c r="N52" s="144"/>
      <c r="O52" s="144"/>
      <c r="P52" s="144"/>
    </row>
    <row r="53" spans="14:16" x14ac:dyDescent="0.3">
      <c r="N53" s="134"/>
      <c r="O53" s="134"/>
      <c r="P53" s="134"/>
    </row>
    <row r="54" spans="14:16" x14ac:dyDescent="0.3">
      <c r="N54" s="134"/>
      <c r="O54" s="134"/>
      <c r="P54" s="134"/>
    </row>
  </sheetData>
  <mergeCells count="12">
    <mergeCell ref="N54:P54"/>
    <mergeCell ref="A1:Q1"/>
    <mergeCell ref="A2:Q2"/>
    <mergeCell ref="A4:A5"/>
    <mergeCell ref="B4:C5"/>
    <mergeCell ref="D4:P4"/>
    <mergeCell ref="Q4:Q5"/>
    <mergeCell ref="B6:C6"/>
    <mergeCell ref="N47:P47"/>
    <mergeCell ref="N48:P48"/>
    <mergeCell ref="N52:P52"/>
    <mergeCell ref="N53:P53"/>
  </mergeCells>
  <pageMargins left="0.7" right="0.7" top="0.75" bottom="0.75" header="0.3" footer="0.3"/>
  <pageSetup paperSize="10000" scale="86" fitToHeight="0" orientation="landscape" horizontalDpi="0" verticalDpi="0" r:id="rId1"/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32"/>
  <sheetViews>
    <sheetView zoomScaleNormal="100" zoomScaleSheetLayoutView="70" workbookViewId="0">
      <selection activeCell="D5" sqref="D5:P5"/>
    </sheetView>
  </sheetViews>
  <sheetFormatPr defaultRowHeight="14.4" x14ac:dyDescent="0.3"/>
  <cols>
    <col min="3" max="3" width="26.5546875" bestFit="1" customWidth="1"/>
    <col min="7" max="7" width="11.88671875" customWidth="1"/>
    <col min="9" max="9" width="10.6640625" customWidth="1"/>
    <col min="10" max="10" width="10.5546875" customWidth="1"/>
    <col min="14" max="14" width="9.6640625" customWidth="1"/>
    <col min="16" max="16" width="9.6640625" customWidth="1"/>
  </cols>
  <sheetData>
    <row r="1" spans="1:17" x14ac:dyDescent="0.3">
      <c r="A1" s="135" t="s">
        <v>131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17" x14ac:dyDescent="0.3">
      <c r="A2" s="135" t="s">
        <v>134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17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17" x14ac:dyDescent="0.3">
      <c r="A4" s="136" t="s">
        <v>18</v>
      </c>
      <c r="B4" s="138" t="s">
        <v>92</v>
      </c>
      <c r="C4" s="139"/>
      <c r="D4" s="136" t="s">
        <v>93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 t="s">
        <v>3</v>
      </c>
    </row>
    <row r="5" spans="1:17" ht="60" x14ac:dyDescent="0.3">
      <c r="A5" s="137"/>
      <c r="B5" s="140"/>
      <c r="C5" s="141"/>
      <c r="D5" s="38" t="s">
        <v>143</v>
      </c>
      <c r="E5" s="38" t="s">
        <v>147</v>
      </c>
      <c r="F5" s="38" t="s">
        <v>148</v>
      </c>
      <c r="G5" s="125" t="s">
        <v>157</v>
      </c>
      <c r="H5" s="38" t="s">
        <v>144</v>
      </c>
      <c r="I5" s="125" t="s">
        <v>149</v>
      </c>
      <c r="J5" s="125" t="s">
        <v>150</v>
      </c>
      <c r="K5" s="38" t="s">
        <v>151</v>
      </c>
      <c r="L5" s="38" t="s">
        <v>152</v>
      </c>
      <c r="M5" s="38" t="s">
        <v>153</v>
      </c>
      <c r="N5" s="125" t="s">
        <v>154</v>
      </c>
      <c r="O5" s="38" t="s">
        <v>155</v>
      </c>
      <c r="P5" s="38" t="s">
        <v>156</v>
      </c>
      <c r="Q5" s="137"/>
    </row>
    <row r="6" spans="1:17" x14ac:dyDescent="0.3">
      <c r="A6" s="40">
        <v>1</v>
      </c>
      <c r="B6" s="142">
        <v>2</v>
      </c>
      <c r="C6" s="143"/>
      <c r="D6" s="40">
        <v>3</v>
      </c>
      <c r="E6" s="41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</row>
    <row r="7" spans="1:17" x14ac:dyDescent="0.3">
      <c r="A7" s="45"/>
      <c r="B7" s="46" t="s">
        <v>130</v>
      </c>
      <c r="C7" s="47"/>
      <c r="D7" s="90">
        <f>SUM(D8:D22)</f>
        <v>28.2</v>
      </c>
      <c r="E7" s="90">
        <f t="shared" ref="E7:O7" si="0">SUM(E8:E22)</f>
        <v>105.4</v>
      </c>
      <c r="F7" s="90">
        <f t="shared" si="0"/>
        <v>109.6</v>
      </c>
      <c r="G7" s="90">
        <f t="shared" si="0"/>
        <v>110.4</v>
      </c>
      <c r="H7" s="90">
        <f t="shared" si="0"/>
        <v>111.5</v>
      </c>
      <c r="I7" s="90">
        <f t="shared" si="0"/>
        <v>103.4</v>
      </c>
      <c r="J7" s="90">
        <f t="shared" si="0"/>
        <v>80.899999999999991</v>
      </c>
      <c r="K7" s="90">
        <f t="shared" si="0"/>
        <v>50.5</v>
      </c>
      <c r="L7" s="90">
        <f t="shared" si="0"/>
        <v>53.4</v>
      </c>
      <c r="M7" s="90">
        <f t="shared" si="0"/>
        <v>25.700000000000003</v>
      </c>
      <c r="N7" s="90">
        <f t="shared" si="0"/>
        <v>42.7</v>
      </c>
      <c r="O7" s="90">
        <f t="shared" si="0"/>
        <v>21.3</v>
      </c>
      <c r="P7" s="90">
        <f>SUM(P8:P22)</f>
        <v>31.099999999999998</v>
      </c>
      <c r="Q7" s="91">
        <f>SUM(Q8:Q22)</f>
        <v>874.1</v>
      </c>
    </row>
    <row r="8" spans="1:17" x14ac:dyDescent="0.3">
      <c r="A8" s="92"/>
      <c r="B8" s="93">
        <v>1</v>
      </c>
      <c r="C8" s="94" t="s">
        <v>114</v>
      </c>
      <c r="D8" s="95">
        <v>0</v>
      </c>
      <c r="E8" s="95">
        <v>0</v>
      </c>
      <c r="F8" s="95">
        <v>0</v>
      </c>
      <c r="G8" s="95">
        <v>3.4</v>
      </c>
      <c r="H8" s="95">
        <v>0</v>
      </c>
      <c r="I8" s="95">
        <v>0</v>
      </c>
      <c r="J8" s="95">
        <v>0</v>
      </c>
      <c r="K8" s="95">
        <v>2.7</v>
      </c>
      <c r="L8" s="95">
        <v>3</v>
      </c>
      <c r="M8" s="95">
        <v>2.5</v>
      </c>
      <c r="N8" s="95">
        <v>3</v>
      </c>
      <c r="O8" s="95">
        <v>2.8</v>
      </c>
      <c r="P8" s="95">
        <v>2</v>
      </c>
      <c r="Q8" s="96">
        <f t="shared" ref="Q8:Q22" si="1">SUM(D8:P8)</f>
        <v>19.399999999999999</v>
      </c>
    </row>
    <row r="9" spans="1:17" x14ac:dyDescent="0.3">
      <c r="A9" s="97"/>
      <c r="B9" s="98">
        <v>2</v>
      </c>
      <c r="C9" s="99" t="s">
        <v>115</v>
      </c>
      <c r="D9" s="100">
        <v>16</v>
      </c>
      <c r="E9" s="100">
        <v>36.6</v>
      </c>
      <c r="F9" s="100">
        <v>36.4</v>
      </c>
      <c r="G9" s="100">
        <v>0</v>
      </c>
      <c r="H9" s="100">
        <v>31.5</v>
      </c>
      <c r="I9" s="100">
        <v>27.9</v>
      </c>
      <c r="J9" s="100">
        <v>23.2</v>
      </c>
      <c r="K9" s="100">
        <v>6.8</v>
      </c>
      <c r="L9" s="100">
        <v>6.7</v>
      </c>
      <c r="M9" s="100">
        <v>0</v>
      </c>
      <c r="N9" s="100">
        <v>0</v>
      </c>
      <c r="O9" s="100">
        <v>0</v>
      </c>
      <c r="P9" s="100">
        <v>0</v>
      </c>
      <c r="Q9" s="101">
        <f t="shared" si="1"/>
        <v>185.1</v>
      </c>
    </row>
    <row r="10" spans="1:17" x14ac:dyDescent="0.3">
      <c r="A10" s="97"/>
      <c r="B10" s="98">
        <v>3</v>
      </c>
      <c r="C10" s="99" t="s">
        <v>116</v>
      </c>
      <c r="D10" s="100">
        <v>0</v>
      </c>
      <c r="E10" s="100">
        <v>0</v>
      </c>
      <c r="F10" s="100">
        <v>0</v>
      </c>
      <c r="G10" s="100">
        <v>37.200000000000003</v>
      </c>
      <c r="H10" s="100">
        <v>0</v>
      </c>
      <c r="I10" s="100">
        <v>0</v>
      </c>
      <c r="J10" s="100">
        <v>0</v>
      </c>
      <c r="K10" s="100">
        <v>9.6999999999999993</v>
      </c>
      <c r="L10" s="100">
        <v>10</v>
      </c>
      <c r="M10" s="100">
        <v>3</v>
      </c>
      <c r="N10" s="100">
        <v>3.6</v>
      </c>
      <c r="O10" s="100">
        <v>3</v>
      </c>
      <c r="P10" s="100">
        <v>3.5</v>
      </c>
      <c r="Q10" s="101">
        <f t="shared" si="1"/>
        <v>70</v>
      </c>
    </row>
    <row r="11" spans="1:17" x14ac:dyDescent="0.3">
      <c r="A11" s="97"/>
      <c r="B11" s="98">
        <v>4</v>
      </c>
      <c r="C11" s="99" t="s">
        <v>117</v>
      </c>
      <c r="D11" s="100">
        <v>4</v>
      </c>
      <c r="E11" s="100">
        <v>34.5</v>
      </c>
      <c r="F11" s="100">
        <v>28.7</v>
      </c>
      <c r="G11" s="100">
        <v>0</v>
      </c>
      <c r="H11" s="100">
        <v>38.4</v>
      </c>
      <c r="I11" s="100">
        <v>32</v>
      </c>
      <c r="J11" s="100">
        <v>22.9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01">
        <f t="shared" si="1"/>
        <v>160.5</v>
      </c>
    </row>
    <row r="12" spans="1:17" x14ac:dyDescent="0.3">
      <c r="A12" s="97"/>
      <c r="B12" s="98">
        <v>5</v>
      </c>
      <c r="C12" s="99" t="s">
        <v>118</v>
      </c>
      <c r="D12" s="100">
        <v>0</v>
      </c>
      <c r="E12" s="100">
        <v>0</v>
      </c>
      <c r="F12" s="100">
        <v>0</v>
      </c>
      <c r="G12" s="100">
        <v>12</v>
      </c>
      <c r="H12" s="100">
        <v>0</v>
      </c>
      <c r="I12" s="100">
        <v>0</v>
      </c>
      <c r="J12" s="100">
        <v>0</v>
      </c>
      <c r="K12" s="100">
        <v>10.199999999999999</v>
      </c>
      <c r="L12" s="100">
        <v>13.2</v>
      </c>
      <c r="M12" s="100">
        <v>7.5</v>
      </c>
      <c r="N12" s="100">
        <v>24.4</v>
      </c>
      <c r="O12" s="100">
        <v>4</v>
      </c>
      <c r="P12" s="100">
        <v>2.5</v>
      </c>
      <c r="Q12" s="101">
        <f t="shared" si="1"/>
        <v>73.8</v>
      </c>
    </row>
    <row r="13" spans="1:17" x14ac:dyDescent="0.3">
      <c r="A13" s="97"/>
      <c r="B13" s="98">
        <v>6</v>
      </c>
      <c r="C13" s="99" t="s">
        <v>119</v>
      </c>
      <c r="D13" s="100">
        <v>0</v>
      </c>
      <c r="E13" s="100">
        <v>0</v>
      </c>
      <c r="F13" s="100">
        <v>0</v>
      </c>
      <c r="G13" s="100">
        <v>3.8</v>
      </c>
      <c r="H13" s="100">
        <v>0</v>
      </c>
      <c r="I13" s="100">
        <v>0</v>
      </c>
      <c r="J13" s="100">
        <v>0</v>
      </c>
      <c r="K13" s="100">
        <v>3.8</v>
      </c>
      <c r="L13" s="100">
        <v>3</v>
      </c>
      <c r="M13" s="100">
        <v>2.8</v>
      </c>
      <c r="N13" s="100">
        <v>3.7</v>
      </c>
      <c r="O13" s="100">
        <v>3.5</v>
      </c>
      <c r="P13" s="100">
        <v>3</v>
      </c>
      <c r="Q13" s="101">
        <f t="shared" si="1"/>
        <v>23.599999999999998</v>
      </c>
    </row>
    <row r="14" spans="1:17" x14ac:dyDescent="0.3">
      <c r="A14" s="97"/>
      <c r="B14" s="98">
        <v>7</v>
      </c>
      <c r="C14" s="99" t="s">
        <v>120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v>3</v>
      </c>
      <c r="L14" s="100">
        <v>2.2999999999999998</v>
      </c>
      <c r="M14" s="100">
        <v>3.5</v>
      </c>
      <c r="N14" s="100">
        <v>3</v>
      </c>
      <c r="O14" s="100">
        <v>4</v>
      </c>
      <c r="P14" s="100">
        <v>3</v>
      </c>
      <c r="Q14" s="101">
        <f t="shared" si="1"/>
        <v>18.8</v>
      </c>
    </row>
    <row r="15" spans="1:17" x14ac:dyDescent="0.3">
      <c r="A15" s="97"/>
      <c r="B15" s="98">
        <v>8</v>
      </c>
      <c r="C15" s="102" t="s">
        <v>121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v>2.2999999999999998</v>
      </c>
      <c r="Q15" s="101">
        <f t="shared" si="1"/>
        <v>2.2999999999999998</v>
      </c>
    </row>
    <row r="16" spans="1:17" x14ac:dyDescent="0.3">
      <c r="A16" s="97"/>
      <c r="B16" s="98">
        <v>9</v>
      </c>
      <c r="C16" s="99" t="s">
        <v>122</v>
      </c>
      <c r="D16" s="100">
        <v>0</v>
      </c>
      <c r="E16" s="100">
        <v>0</v>
      </c>
      <c r="F16" s="100">
        <v>0</v>
      </c>
      <c r="G16" s="100">
        <v>4.2</v>
      </c>
      <c r="H16" s="100">
        <v>0</v>
      </c>
      <c r="I16" s="100">
        <v>0</v>
      </c>
      <c r="J16" s="100">
        <v>0</v>
      </c>
      <c r="K16" s="100">
        <v>4.2</v>
      </c>
      <c r="L16" s="100">
        <v>3.2</v>
      </c>
      <c r="M16" s="100">
        <v>0</v>
      </c>
      <c r="N16" s="100">
        <v>0</v>
      </c>
      <c r="O16" s="100">
        <v>0</v>
      </c>
      <c r="P16" s="100">
        <v>3.4</v>
      </c>
      <c r="Q16" s="101">
        <f t="shared" si="1"/>
        <v>15.000000000000002</v>
      </c>
    </row>
    <row r="17" spans="1:17" x14ac:dyDescent="0.3">
      <c r="A17" s="97"/>
      <c r="B17" s="98">
        <v>10</v>
      </c>
      <c r="C17" s="99" t="s">
        <v>123</v>
      </c>
      <c r="D17" s="100">
        <v>8.1999999999999993</v>
      </c>
      <c r="E17" s="100">
        <v>14.2</v>
      </c>
      <c r="F17" s="100">
        <v>32.299999999999997</v>
      </c>
      <c r="G17" s="100">
        <v>5.8</v>
      </c>
      <c r="H17" s="100">
        <v>28</v>
      </c>
      <c r="I17" s="100">
        <v>28.5</v>
      </c>
      <c r="J17" s="100">
        <v>20</v>
      </c>
      <c r="K17" s="100">
        <v>2.1</v>
      </c>
      <c r="L17" s="100">
        <v>3</v>
      </c>
      <c r="M17" s="100">
        <v>0</v>
      </c>
      <c r="N17" s="100">
        <v>0</v>
      </c>
      <c r="O17" s="100">
        <v>0</v>
      </c>
      <c r="P17" s="100">
        <v>0</v>
      </c>
      <c r="Q17" s="101">
        <f t="shared" si="1"/>
        <v>142.1</v>
      </c>
    </row>
    <row r="18" spans="1:17" x14ac:dyDescent="0.3">
      <c r="A18" s="97"/>
      <c r="B18" s="98">
        <v>11</v>
      </c>
      <c r="C18" s="99" t="s">
        <v>124</v>
      </c>
      <c r="D18" s="101">
        <v>0</v>
      </c>
      <c r="E18" s="101">
        <v>0</v>
      </c>
      <c r="F18" s="101">
        <v>0</v>
      </c>
      <c r="G18" s="101">
        <v>3</v>
      </c>
      <c r="H18" s="101">
        <v>0</v>
      </c>
      <c r="I18" s="101">
        <v>0</v>
      </c>
      <c r="J18" s="101">
        <v>0</v>
      </c>
      <c r="K18" s="101">
        <v>0</v>
      </c>
      <c r="L18" s="101">
        <v>3.8</v>
      </c>
      <c r="M18" s="101">
        <v>2.8</v>
      </c>
      <c r="N18" s="101">
        <v>2.2000000000000002</v>
      </c>
      <c r="O18" s="101">
        <v>0</v>
      </c>
      <c r="P18" s="101">
        <v>3.4</v>
      </c>
      <c r="Q18" s="101">
        <f t="shared" si="1"/>
        <v>15.200000000000001</v>
      </c>
    </row>
    <row r="19" spans="1:17" x14ac:dyDescent="0.3">
      <c r="A19" s="97"/>
      <c r="B19" s="98">
        <v>12</v>
      </c>
      <c r="C19" s="99" t="s">
        <v>125</v>
      </c>
      <c r="D19" s="103">
        <v>0</v>
      </c>
      <c r="E19" s="103">
        <v>0</v>
      </c>
      <c r="F19" s="103">
        <v>0</v>
      </c>
      <c r="G19" s="103">
        <v>27.5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01">
        <f t="shared" si="1"/>
        <v>27.5</v>
      </c>
    </row>
    <row r="20" spans="1:17" x14ac:dyDescent="0.3">
      <c r="A20" s="97"/>
      <c r="B20" s="98">
        <v>13</v>
      </c>
      <c r="C20" s="102" t="s">
        <v>126</v>
      </c>
      <c r="D20" s="103">
        <v>0</v>
      </c>
      <c r="E20" s="103">
        <v>0</v>
      </c>
      <c r="F20" s="103">
        <v>0</v>
      </c>
      <c r="G20" s="103">
        <v>13.5</v>
      </c>
      <c r="H20" s="103">
        <v>0</v>
      </c>
      <c r="I20" s="103">
        <v>0</v>
      </c>
      <c r="J20" s="103">
        <v>0</v>
      </c>
      <c r="K20" s="103">
        <v>8</v>
      </c>
      <c r="L20" s="103">
        <v>5.2</v>
      </c>
      <c r="M20" s="103">
        <v>3.6</v>
      </c>
      <c r="N20" s="103">
        <v>2.8</v>
      </c>
      <c r="O20" s="103">
        <v>4</v>
      </c>
      <c r="P20" s="103">
        <v>4</v>
      </c>
      <c r="Q20" s="101">
        <f t="shared" si="1"/>
        <v>41.1</v>
      </c>
    </row>
    <row r="21" spans="1:17" x14ac:dyDescent="0.3">
      <c r="A21" s="97"/>
      <c r="B21" s="98">
        <v>14</v>
      </c>
      <c r="C21" s="102" t="s">
        <v>127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v>4</v>
      </c>
      <c r="Q21" s="101">
        <f t="shared" si="1"/>
        <v>4</v>
      </c>
    </row>
    <row r="22" spans="1:17" x14ac:dyDescent="0.3">
      <c r="A22" s="97"/>
      <c r="B22" s="98">
        <v>15</v>
      </c>
      <c r="C22" s="99" t="s">
        <v>128</v>
      </c>
      <c r="D22" s="103">
        <v>0</v>
      </c>
      <c r="E22" s="103">
        <v>20.100000000000001</v>
      </c>
      <c r="F22" s="103">
        <v>12.2</v>
      </c>
      <c r="G22" s="103">
        <v>0</v>
      </c>
      <c r="H22" s="103">
        <v>13.6</v>
      </c>
      <c r="I22" s="103">
        <v>15</v>
      </c>
      <c r="J22" s="103">
        <v>14.8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01">
        <f t="shared" si="1"/>
        <v>75.7</v>
      </c>
    </row>
    <row r="23" spans="1:17" x14ac:dyDescent="0.3">
      <c r="A23" s="104"/>
      <c r="B23" s="105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</row>
    <row r="25" spans="1:17" x14ac:dyDescent="0.3">
      <c r="N25" s="134"/>
      <c r="O25" s="134"/>
      <c r="P25" s="134"/>
    </row>
    <row r="26" spans="1:17" x14ac:dyDescent="0.3">
      <c r="N26" s="134"/>
      <c r="O26" s="134"/>
      <c r="P26" s="134"/>
    </row>
    <row r="27" spans="1:17" x14ac:dyDescent="0.3">
      <c r="N27" s="20"/>
      <c r="O27" s="20"/>
      <c r="P27" s="20"/>
    </row>
    <row r="28" spans="1:17" x14ac:dyDescent="0.3">
      <c r="N28" s="20"/>
      <c r="O28" s="20"/>
      <c r="P28" s="20"/>
    </row>
    <row r="29" spans="1:17" x14ac:dyDescent="0.3">
      <c r="N29" s="20"/>
      <c r="O29" s="20"/>
      <c r="P29" s="20"/>
    </row>
    <row r="30" spans="1:17" x14ac:dyDescent="0.3">
      <c r="N30" s="144"/>
      <c r="O30" s="144"/>
      <c r="P30" s="144"/>
    </row>
    <row r="31" spans="1:17" x14ac:dyDescent="0.3">
      <c r="N31" s="134"/>
      <c r="O31" s="134"/>
      <c r="P31" s="134"/>
    </row>
    <row r="32" spans="1:17" x14ac:dyDescent="0.3">
      <c r="N32" s="134"/>
      <c r="O32" s="134"/>
      <c r="P32" s="134"/>
    </row>
  </sheetData>
  <mergeCells count="12">
    <mergeCell ref="N32:P32"/>
    <mergeCell ref="A1:Q1"/>
    <mergeCell ref="A2:Q2"/>
    <mergeCell ref="A4:A5"/>
    <mergeCell ref="B4:C5"/>
    <mergeCell ref="D4:P4"/>
    <mergeCell ref="Q4:Q5"/>
    <mergeCell ref="B6:C6"/>
    <mergeCell ref="N25:P25"/>
    <mergeCell ref="N26:P26"/>
    <mergeCell ref="N30:P30"/>
    <mergeCell ref="N31:P31"/>
  </mergeCells>
  <pageMargins left="0.7" right="0.7" top="0.75" bottom="0.75" header="0.3" footer="0.3"/>
  <pageSetup paperSize="10000" scale="86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80D0-BD69-47F7-A56A-77FB884CC14D}">
  <dimension ref="A1:AB33"/>
  <sheetViews>
    <sheetView tabSelected="1" zoomScale="70" zoomScaleNormal="70" zoomScaleSheetLayoutView="70" workbookViewId="0">
      <selection activeCell="H5" sqref="H5"/>
    </sheetView>
  </sheetViews>
  <sheetFormatPr defaultRowHeight="14.4" x14ac:dyDescent="0.3"/>
  <cols>
    <col min="3" max="3" width="26.5546875" bestFit="1" customWidth="1"/>
    <col min="4" max="4" width="12.88671875" customWidth="1"/>
    <col min="5" max="5" width="15.33203125" customWidth="1"/>
    <col min="6" max="6" width="16.109375" customWidth="1"/>
    <col min="7" max="7" width="16.6640625" customWidth="1"/>
    <col min="8" max="8" width="15.6640625" customWidth="1"/>
    <col min="9" max="9" width="16.44140625" customWidth="1"/>
    <col min="10" max="10" width="16.5546875" customWidth="1"/>
    <col min="11" max="12" width="13.6640625" bestFit="1" customWidth="1"/>
    <col min="13" max="13" width="13.109375" customWidth="1"/>
    <col min="14" max="14" width="15" customWidth="1"/>
    <col min="15" max="16" width="15.109375" customWidth="1"/>
    <col min="17" max="17" width="24.109375" customWidth="1"/>
    <col min="23" max="23" width="20.5546875" customWidth="1"/>
    <col min="24" max="24" width="12.44140625" bestFit="1" customWidth="1"/>
    <col min="25" max="25" width="13.5546875" bestFit="1" customWidth="1"/>
    <col min="28" max="28" width="12" style="19" bestFit="1" customWidth="1"/>
  </cols>
  <sheetData>
    <row r="1" spans="1:28" x14ac:dyDescent="0.3">
      <c r="A1" s="135" t="s">
        <v>139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</row>
    <row r="2" spans="1:28" x14ac:dyDescent="0.3">
      <c r="A2" s="135" t="s">
        <v>134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8" x14ac:dyDescent="0.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T3" s="118"/>
      <c r="U3" s="118"/>
      <c r="V3" s="118"/>
      <c r="W3" s="118"/>
      <c r="X3" s="118"/>
      <c r="Y3" s="118"/>
      <c r="Z3" s="118"/>
      <c r="AA3" s="118"/>
      <c r="AB3" s="118"/>
    </row>
    <row r="4" spans="1:28" x14ac:dyDescent="0.3">
      <c r="A4" s="136" t="s">
        <v>18</v>
      </c>
      <c r="B4" s="138" t="s">
        <v>92</v>
      </c>
      <c r="C4" s="139"/>
      <c r="D4" s="136" t="s">
        <v>93</v>
      </c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53" t="s">
        <v>140</v>
      </c>
      <c r="T4" s="118"/>
      <c r="U4" s="118"/>
      <c r="V4" s="118"/>
      <c r="W4" s="118"/>
      <c r="X4" s="118"/>
      <c r="Y4" s="118"/>
      <c r="Z4" s="118"/>
      <c r="AA4" s="118"/>
      <c r="AB4" s="118"/>
    </row>
    <row r="5" spans="1:28" ht="36" x14ac:dyDescent="0.3">
      <c r="A5" s="137"/>
      <c r="B5" s="140"/>
      <c r="C5" s="141"/>
      <c r="D5" s="38" t="s">
        <v>143</v>
      </c>
      <c r="E5" s="39" t="s">
        <v>147</v>
      </c>
      <c r="F5" s="38" t="s">
        <v>148</v>
      </c>
      <c r="G5" s="39" t="s">
        <v>157</v>
      </c>
      <c r="H5" s="39" t="s">
        <v>144</v>
      </c>
      <c r="I5" s="39" t="s">
        <v>149</v>
      </c>
      <c r="J5" s="39" t="s">
        <v>150</v>
      </c>
      <c r="K5" s="38" t="s">
        <v>151</v>
      </c>
      <c r="L5" s="38" t="s">
        <v>152</v>
      </c>
      <c r="M5" s="38" t="s">
        <v>153</v>
      </c>
      <c r="N5" s="39" t="s">
        <v>154</v>
      </c>
      <c r="O5" s="38" t="s">
        <v>155</v>
      </c>
      <c r="P5" s="38" t="s">
        <v>156</v>
      </c>
      <c r="Q5" s="154"/>
      <c r="T5" s="118"/>
      <c r="U5" s="118"/>
      <c r="V5" s="118"/>
      <c r="W5" s="118"/>
      <c r="X5" s="118"/>
      <c r="Y5" s="118"/>
      <c r="Z5" s="118"/>
      <c r="AA5" s="118"/>
      <c r="AB5" s="118"/>
    </row>
    <row r="6" spans="1:28" x14ac:dyDescent="0.3">
      <c r="A6" s="40">
        <v>1</v>
      </c>
      <c r="B6" s="142">
        <v>2</v>
      </c>
      <c r="C6" s="143"/>
      <c r="D6" s="40">
        <v>3</v>
      </c>
      <c r="E6" s="41">
        <v>4</v>
      </c>
      <c r="F6" s="40">
        <v>5</v>
      </c>
      <c r="G6" s="40">
        <v>6</v>
      </c>
      <c r="H6" s="40">
        <v>7</v>
      </c>
      <c r="I6" s="40">
        <v>8</v>
      </c>
      <c r="J6" s="40">
        <v>9</v>
      </c>
      <c r="K6" s="40">
        <v>10</v>
      </c>
      <c r="L6" s="40">
        <v>11</v>
      </c>
      <c r="M6" s="40">
        <v>12</v>
      </c>
      <c r="N6" s="40">
        <v>13</v>
      </c>
      <c r="O6" s="40">
        <v>14</v>
      </c>
      <c r="P6" s="40">
        <v>15</v>
      </c>
      <c r="Q6" s="40">
        <v>16</v>
      </c>
      <c r="T6" s="118"/>
      <c r="U6" s="118"/>
      <c r="V6" s="118"/>
      <c r="W6" s="118"/>
      <c r="X6" s="118"/>
      <c r="Y6" s="118"/>
      <c r="Z6" s="118"/>
      <c r="AA6" s="118"/>
      <c r="AB6" s="118"/>
    </row>
    <row r="7" spans="1:28" x14ac:dyDescent="0.3">
      <c r="A7" s="45"/>
      <c r="B7" s="151" t="s">
        <v>141</v>
      </c>
      <c r="C7" s="152"/>
      <c r="D7" s="90">
        <f>SUM(D8:D22)</f>
        <v>416000</v>
      </c>
      <c r="E7" s="90">
        <f t="shared" ref="E7:O7" si="0">SUM(E8:E22)</f>
        <v>3250700</v>
      </c>
      <c r="F7" s="90">
        <f t="shared" si="0"/>
        <v>3388500</v>
      </c>
      <c r="G7" s="90">
        <f t="shared" si="0"/>
        <v>2824800</v>
      </c>
      <c r="H7" s="90">
        <f t="shared" si="0"/>
        <v>3441000</v>
      </c>
      <c r="I7" s="90">
        <f t="shared" si="0"/>
        <v>3389400</v>
      </c>
      <c r="J7" s="90">
        <f t="shared" si="0"/>
        <v>2919500</v>
      </c>
      <c r="K7" s="90">
        <f t="shared" si="0"/>
        <v>1192900</v>
      </c>
      <c r="L7" s="90">
        <f t="shared" si="0"/>
        <v>1175400</v>
      </c>
      <c r="M7" s="90">
        <f t="shared" si="0"/>
        <v>537900</v>
      </c>
      <c r="N7" s="90">
        <f t="shared" si="0"/>
        <v>779040</v>
      </c>
      <c r="O7" s="90">
        <f t="shared" si="0"/>
        <v>480200</v>
      </c>
      <c r="P7" s="90">
        <f>SUM(P8:P22)</f>
        <v>747200</v>
      </c>
      <c r="Q7" s="126">
        <f>SUM(Q8:Q22)</f>
        <v>24542540</v>
      </c>
      <c r="T7" s="118"/>
      <c r="U7" s="118"/>
      <c r="V7" s="118"/>
      <c r="W7" s="118"/>
      <c r="X7" s="118"/>
      <c r="Y7" s="118"/>
      <c r="Z7" s="118"/>
      <c r="AA7" s="118"/>
      <c r="AB7" s="118"/>
    </row>
    <row r="8" spans="1:28" x14ac:dyDescent="0.3">
      <c r="A8" s="92"/>
      <c r="B8" s="93">
        <v>1</v>
      </c>
      <c r="C8" s="94" t="s">
        <v>114</v>
      </c>
      <c r="D8" s="95">
        <v>0</v>
      </c>
      <c r="E8" s="95">
        <v>0</v>
      </c>
      <c r="F8" s="95">
        <v>0</v>
      </c>
      <c r="G8" s="95">
        <f>3.4*AB8</f>
        <v>40800</v>
      </c>
      <c r="H8" s="95">
        <v>0</v>
      </c>
      <c r="I8" s="95">
        <v>0</v>
      </c>
      <c r="J8" s="95">
        <v>0</v>
      </c>
      <c r="K8" s="95">
        <f>2.7*AB8</f>
        <v>32400.000000000004</v>
      </c>
      <c r="L8" s="95">
        <f>3*AB8</f>
        <v>36000</v>
      </c>
      <c r="M8" s="95">
        <f>2.5*AB8</f>
        <v>30000</v>
      </c>
      <c r="N8" s="95">
        <f>3*AB8</f>
        <v>36000</v>
      </c>
      <c r="O8" s="95">
        <f>2.8*AB8</f>
        <v>33600</v>
      </c>
      <c r="P8" s="95">
        <f>2*AB8</f>
        <v>24000</v>
      </c>
      <c r="Q8" s="127">
        <f>SUM(D8:P8)</f>
        <v>232800</v>
      </c>
      <c r="T8" s="118"/>
      <c r="U8" s="118"/>
      <c r="V8" s="118"/>
      <c r="W8" s="118"/>
      <c r="X8" s="128"/>
      <c r="Y8" s="128"/>
      <c r="Z8" s="118"/>
      <c r="AA8" s="118"/>
      <c r="AB8" s="129">
        <v>12000</v>
      </c>
    </row>
    <row r="9" spans="1:28" x14ac:dyDescent="0.3">
      <c r="A9" s="97"/>
      <c r="B9" s="98">
        <v>2</v>
      </c>
      <c r="C9" s="99" t="s">
        <v>115</v>
      </c>
      <c r="D9" s="100">
        <f>16*AB8</f>
        <v>192000</v>
      </c>
      <c r="E9" s="100">
        <f>36.6*AB8</f>
        <v>439200</v>
      </c>
      <c r="F9" s="100">
        <f>36.4*AB9</f>
        <v>1092000</v>
      </c>
      <c r="G9" s="100">
        <v>0</v>
      </c>
      <c r="H9" s="100">
        <f>31.5*AB9</f>
        <v>945000</v>
      </c>
      <c r="I9" s="100">
        <f>27.98*AB9</f>
        <v>839400</v>
      </c>
      <c r="J9" s="100">
        <f>23.2*AB9</f>
        <v>696000</v>
      </c>
      <c r="K9" s="100">
        <f>6.8*AB9</f>
        <v>204000</v>
      </c>
      <c r="L9" s="100">
        <f>6.7*AB9</f>
        <v>201000</v>
      </c>
      <c r="M9" s="100">
        <v>0</v>
      </c>
      <c r="N9" s="100">
        <v>0</v>
      </c>
      <c r="O9" s="100">
        <v>0</v>
      </c>
      <c r="P9" s="100">
        <v>0</v>
      </c>
      <c r="Q9" s="130">
        <f t="shared" ref="Q9:Q22" si="1">SUM(D9:P9)</f>
        <v>4608600</v>
      </c>
      <c r="T9" s="118"/>
      <c r="U9" s="118"/>
      <c r="V9" s="118"/>
      <c r="W9" s="118"/>
      <c r="X9" s="131"/>
      <c r="Y9" s="132"/>
      <c r="Z9" s="118"/>
      <c r="AA9" s="118"/>
      <c r="AB9" s="129">
        <v>30000</v>
      </c>
    </row>
    <row r="10" spans="1:28" x14ac:dyDescent="0.3">
      <c r="A10" s="97"/>
      <c r="B10" s="98">
        <v>3</v>
      </c>
      <c r="C10" s="99" t="s">
        <v>116</v>
      </c>
      <c r="D10" s="100">
        <v>0</v>
      </c>
      <c r="E10" s="100">
        <v>0</v>
      </c>
      <c r="F10" s="100">
        <v>0</v>
      </c>
      <c r="G10" s="100">
        <f>37.2*AB10</f>
        <v>930000.00000000012</v>
      </c>
      <c r="H10" s="100">
        <v>0</v>
      </c>
      <c r="I10" s="100">
        <v>0</v>
      </c>
      <c r="J10" s="100">
        <v>0</v>
      </c>
      <c r="K10" s="100">
        <f>9.7*AB10</f>
        <v>242499.99999999997</v>
      </c>
      <c r="L10" s="100">
        <f>10*AB10</f>
        <v>250000</v>
      </c>
      <c r="M10" s="100">
        <f>3*AB10</f>
        <v>75000</v>
      </c>
      <c r="N10" s="100">
        <f>3.6*AB10</f>
        <v>90000</v>
      </c>
      <c r="O10" s="100">
        <f>3*AB10</f>
        <v>75000</v>
      </c>
      <c r="P10" s="100">
        <f>3.5*AB10</f>
        <v>87500</v>
      </c>
      <c r="Q10" s="130">
        <f t="shared" si="1"/>
        <v>1750000</v>
      </c>
      <c r="T10" s="118"/>
      <c r="U10" s="118"/>
      <c r="V10" s="118"/>
      <c r="W10" s="118"/>
      <c r="X10" s="132"/>
      <c r="Y10" s="132"/>
      <c r="Z10" s="118"/>
      <c r="AA10" s="118"/>
      <c r="AB10" s="129">
        <v>25000</v>
      </c>
    </row>
    <row r="11" spans="1:28" x14ac:dyDescent="0.3">
      <c r="A11" s="97"/>
      <c r="B11" s="98">
        <v>4</v>
      </c>
      <c r="C11" s="99" t="s">
        <v>142</v>
      </c>
      <c r="D11" s="100">
        <f>4*AB11</f>
        <v>60000</v>
      </c>
      <c r="E11" s="100">
        <f>34.5*AB11</f>
        <v>517500</v>
      </c>
      <c r="F11" s="100">
        <f>28.7*AB11</f>
        <v>430500</v>
      </c>
      <c r="G11" s="100">
        <v>0</v>
      </c>
      <c r="H11" s="100">
        <f>38.4*AB11</f>
        <v>576000</v>
      </c>
      <c r="I11" s="100">
        <f>32*AB11</f>
        <v>480000</v>
      </c>
      <c r="J11" s="100">
        <f>22.9*AB11</f>
        <v>343500</v>
      </c>
      <c r="K11" s="100">
        <v>0</v>
      </c>
      <c r="L11" s="100">
        <v>0</v>
      </c>
      <c r="M11" s="100">
        <v>0</v>
      </c>
      <c r="N11" s="100">
        <v>0</v>
      </c>
      <c r="O11" s="100">
        <v>0</v>
      </c>
      <c r="P11" s="100">
        <v>0</v>
      </c>
      <c r="Q11" s="130">
        <f t="shared" si="1"/>
        <v>2407500</v>
      </c>
      <c r="T11" s="118"/>
      <c r="U11" s="118"/>
      <c r="V11" s="118"/>
      <c r="W11" s="118"/>
      <c r="X11" s="131"/>
      <c r="Y11" s="132"/>
      <c r="Z11" s="118"/>
      <c r="AA11" s="118"/>
      <c r="AB11" s="129">
        <v>15000</v>
      </c>
    </row>
    <row r="12" spans="1:28" x14ac:dyDescent="0.3">
      <c r="A12" s="97"/>
      <c r="B12" s="98">
        <v>5</v>
      </c>
      <c r="C12" s="99" t="s">
        <v>118</v>
      </c>
      <c r="D12" s="100">
        <v>0</v>
      </c>
      <c r="E12" s="100">
        <v>0</v>
      </c>
      <c r="F12" s="100">
        <v>0</v>
      </c>
      <c r="G12" s="100">
        <f>12*AB12</f>
        <v>180000</v>
      </c>
      <c r="H12" s="100">
        <v>0</v>
      </c>
      <c r="I12" s="100">
        <v>0</v>
      </c>
      <c r="J12" s="100">
        <v>0</v>
      </c>
      <c r="K12" s="100">
        <f>10.2*AB12</f>
        <v>153000</v>
      </c>
      <c r="L12" s="100">
        <f>13.2*AB12</f>
        <v>198000</v>
      </c>
      <c r="M12" s="100">
        <f>7.5*AB12</f>
        <v>112500</v>
      </c>
      <c r="N12" s="100">
        <f>24.4*AB12</f>
        <v>366000</v>
      </c>
      <c r="O12" s="100">
        <f>4*AB12</f>
        <v>60000</v>
      </c>
      <c r="P12" s="100">
        <f>2.5*AB12</f>
        <v>37500</v>
      </c>
      <c r="Q12" s="130">
        <f t="shared" si="1"/>
        <v>1107000</v>
      </c>
      <c r="T12" s="118"/>
      <c r="U12" s="118"/>
      <c r="V12" s="118"/>
      <c r="W12" s="118"/>
      <c r="X12" s="132"/>
      <c r="Y12" s="132"/>
      <c r="Z12" s="118"/>
      <c r="AA12" s="118"/>
      <c r="AB12" s="129">
        <v>15000</v>
      </c>
    </row>
    <row r="13" spans="1:28" x14ac:dyDescent="0.3">
      <c r="A13" s="97"/>
      <c r="B13" s="98">
        <v>6</v>
      </c>
      <c r="C13" s="99" t="s">
        <v>119</v>
      </c>
      <c r="D13" s="100">
        <v>0</v>
      </c>
      <c r="E13" s="100">
        <v>0</v>
      </c>
      <c r="F13" s="100">
        <v>0</v>
      </c>
      <c r="G13" s="100">
        <f>3.8*AB13</f>
        <v>76000</v>
      </c>
      <c r="H13" s="100">
        <v>0</v>
      </c>
      <c r="I13" s="100">
        <v>0</v>
      </c>
      <c r="J13" s="100">
        <v>0</v>
      </c>
      <c r="K13" s="100">
        <f>3.8*AB13</f>
        <v>76000</v>
      </c>
      <c r="L13" s="100">
        <f>3*AB13</f>
        <v>60000</v>
      </c>
      <c r="M13" s="100">
        <f>2.8*AB13</f>
        <v>56000</v>
      </c>
      <c r="N13" s="100">
        <f>3.7*AB13</f>
        <v>74000</v>
      </c>
      <c r="O13" s="100">
        <f>3.58*AB13</f>
        <v>71600</v>
      </c>
      <c r="P13" s="100">
        <f>3*AB13</f>
        <v>60000</v>
      </c>
      <c r="Q13" s="130">
        <f t="shared" si="1"/>
        <v>473600</v>
      </c>
      <c r="T13" s="118"/>
      <c r="U13" s="118"/>
      <c r="V13" s="118"/>
      <c r="W13" s="118"/>
      <c r="X13" s="131"/>
      <c r="Y13" s="132"/>
      <c r="Z13" s="118"/>
      <c r="AA13" s="118"/>
      <c r="AB13" s="129">
        <v>20000</v>
      </c>
    </row>
    <row r="14" spans="1:28" x14ac:dyDescent="0.3">
      <c r="A14" s="97"/>
      <c r="B14" s="98">
        <v>7</v>
      </c>
      <c r="C14" s="99" t="s">
        <v>120</v>
      </c>
      <c r="D14" s="100">
        <v>0</v>
      </c>
      <c r="E14" s="100">
        <v>0</v>
      </c>
      <c r="F14" s="100">
        <v>0</v>
      </c>
      <c r="G14" s="100">
        <v>0</v>
      </c>
      <c r="H14" s="100">
        <v>0</v>
      </c>
      <c r="I14" s="100">
        <v>0</v>
      </c>
      <c r="J14" s="100">
        <v>0</v>
      </c>
      <c r="K14" s="100">
        <f>3*AB14</f>
        <v>60000</v>
      </c>
      <c r="L14" s="100">
        <f>2.3*AB14</f>
        <v>46000</v>
      </c>
      <c r="M14" s="100">
        <f>3.5*AB14</f>
        <v>70000</v>
      </c>
      <c r="N14" s="100">
        <f>3*AB14</f>
        <v>60000</v>
      </c>
      <c r="O14" s="100">
        <f>4*AB14</f>
        <v>80000</v>
      </c>
      <c r="P14" s="100">
        <f>3*AB14</f>
        <v>60000</v>
      </c>
      <c r="Q14" s="130">
        <f t="shared" si="1"/>
        <v>376000</v>
      </c>
      <c r="T14" s="118"/>
      <c r="U14" s="118"/>
      <c r="V14" s="118"/>
      <c r="W14" s="118"/>
      <c r="X14" s="131"/>
      <c r="Y14" s="132"/>
      <c r="Z14" s="118"/>
      <c r="AA14" s="118"/>
      <c r="AB14" s="129">
        <v>20000</v>
      </c>
    </row>
    <row r="15" spans="1:28" x14ac:dyDescent="0.3">
      <c r="A15" s="97"/>
      <c r="B15" s="98">
        <v>8</v>
      </c>
      <c r="C15" s="102" t="s">
        <v>121</v>
      </c>
      <c r="D15" s="100">
        <v>0</v>
      </c>
      <c r="E15" s="100">
        <v>0</v>
      </c>
      <c r="F15" s="100">
        <v>0</v>
      </c>
      <c r="G15" s="100">
        <v>0</v>
      </c>
      <c r="H15" s="100">
        <v>0</v>
      </c>
      <c r="I15" s="100">
        <v>0</v>
      </c>
      <c r="J15" s="100">
        <v>0</v>
      </c>
      <c r="K15" s="100">
        <v>0</v>
      </c>
      <c r="L15" s="100">
        <v>0</v>
      </c>
      <c r="M15" s="100">
        <v>0</v>
      </c>
      <c r="N15" s="100">
        <v>0</v>
      </c>
      <c r="O15" s="100">
        <v>0</v>
      </c>
      <c r="P15" s="100">
        <f>2.3*AB15</f>
        <v>46000</v>
      </c>
      <c r="Q15" s="130">
        <f t="shared" si="1"/>
        <v>46000</v>
      </c>
      <c r="T15" s="118"/>
      <c r="U15" s="118"/>
      <c r="V15" s="118"/>
      <c r="W15" s="118"/>
      <c r="X15" s="131"/>
      <c r="Y15" s="132"/>
      <c r="Z15" s="118"/>
      <c r="AA15" s="118"/>
      <c r="AB15" s="129">
        <v>20000</v>
      </c>
    </row>
    <row r="16" spans="1:28" x14ac:dyDescent="0.3">
      <c r="A16" s="97"/>
      <c r="B16" s="98">
        <v>9</v>
      </c>
      <c r="C16" s="99" t="s">
        <v>122</v>
      </c>
      <c r="D16" s="100">
        <v>0</v>
      </c>
      <c r="E16" s="100">
        <v>0</v>
      </c>
      <c r="F16" s="100">
        <v>0</v>
      </c>
      <c r="G16" s="100">
        <f>4.2*AB16</f>
        <v>63000</v>
      </c>
      <c r="H16" s="100">
        <v>0</v>
      </c>
      <c r="I16" s="100">
        <v>0</v>
      </c>
      <c r="J16" s="100">
        <v>0</v>
      </c>
      <c r="K16" s="100">
        <f>4.2*AB16</f>
        <v>63000</v>
      </c>
      <c r="L16" s="100">
        <f>3.2*AB16</f>
        <v>48000</v>
      </c>
      <c r="M16" s="100">
        <v>0</v>
      </c>
      <c r="N16" s="100">
        <v>0</v>
      </c>
      <c r="O16" s="100">
        <v>0</v>
      </c>
      <c r="P16" s="100">
        <f>3.4*AB16</f>
        <v>51000</v>
      </c>
      <c r="Q16" s="130">
        <f t="shared" si="1"/>
        <v>225000</v>
      </c>
      <c r="T16" s="118"/>
      <c r="U16" s="118"/>
      <c r="V16" s="118"/>
      <c r="W16" s="118"/>
      <c r="X16" s="131"/>
      <c r="Y16" s="132"/>
      <c r="Z16" s="118"/>
      <c r="AA16" s="118"/>
      <c r="AB16" s="129">
        <v>15000</v>
      </c>
    </row>
    <row r="17" spans="1:28" x14ac:dyDescent="0.3">
      <c r="A17" s="97"/>
      <c r="B17" s="98">
        <v>10</v>
      </c>
      <c r="C17" s="99" t="s">
        <v>123</v>
      </c>
      <c r="D17" s="100">
        <f>8.2*AB17</f>
        <v>164000</v>
      </c>
      <c r="E17" s="100">
        <f>14.2*AB17</f>
        <v>284000</v>
      </c>
      <c r="F17" s="100">
        <f>32.3*AB17</f>
        <v>646000</v>
      </c>
      <c r="G17" s="100">
        <f>5.8*AB17</f>
        <v>116000</v>
      </c>
      <c r="H17" s="100">
        <f>28*AB17</f>
        <v>560000</v>
      </c>
      <c r="I17" s="100">
        <f>28.5*AB17</f>
        <v>570000</v>
      </c>
      <c r="J17" s="100">
        <f>20*AB17</f>
        <v>400000</v>
      </c>
      <c r="K17" s="100">
        <f>2.1*AB17</f>
        <v>42000</v>
      </c>
      <c r="L17" s="100">
        <f>3*AB17</f>
        <v>60000</v>
      </c>
      <c r="M17" s="100">
        <v>0</v>
      </c>
      <c r="N17" s="100">
        <v>0</v>
      </c>
      <c r="O17" s="100">
        <v>0</v>
      </c>
      <c r="P17" s="100">
        <v>0</v>
      </c>
      <c r="Q17" s="130">
        <f t="shared" si="1"/>
        <v>2842000</v>
      </c>
      <c r="S17" s="133"/>
      <c r="T17" s="118"/>
      <c r="U17" s="118"/>
      <c r="V17" s="118"/>
      <c r="W17" s="118"/>
      <c r="X17" s="132"/>
      <c r="Y17" s="132"/>
      <c r="Z17" s="118"/>
      <c r="AA17" s="118"/>
      <c r="AB17" s="129">
        <v>20000</v>
      </c>
    </row>
    <row r="18" spans="1:28" x14ac:dyDescent="0.3">
      <c r="A18" s="97"/>
      <c r="B18" s="98">
        <v>11</v>
      </c>
      <c r="C18" s="99" t="s">
        <v>124</v>
      </c>
      <c r="D18" s="101">
        <v>0</v>
      </c>
      <c r="E18" s="101">
        <v>0</v>
      </c>
      <c r="F18" s="101">
        <v>0</v>
      </c>
      <c r="G18" s="101">
        <f>3*AB18</f>
        <v>54000</v>
      </c>
      <c r="H18" s="101">
        <v>0</v>
      </c>
      <c r="I18" s="101">
        <v>0</v>
      </c>
      <c r="J18" s="101">
        <v>0</v>
      </c>
      <c r="K18" s="101">
        <v>0</v>
      </c>
      <c r="L18" s="101">
        <f>3.8*AB18</f>
        <v>68400</v>
      </c>
      <c r="M18" s="101">
        <f>2.8*AB18</f>
        <v>50400</v>
      </c>
      <c r="N18" s="101">
        <f>2.28*AB18</f>
        <v>41040</v>
      </c>
      <c r="O18" s="101">
        <v>0</v>
      </c>
      <c r="P18" s="101">
        <f>3.4*AB18</f>
        <v>61200</v>
      </c>
      <c r="Q18" s="130">
        <f t="shared" si="1"/>
        <v>275040</v>
      </c>
      <c r="T18" s="118"/>
      <c r="U18" s="118"/>
      <c r="V18" s="118"/>
      <c r="W18" s="118"/>
      <c r="X18" s="131"/>
      <c r="Y18" s="132"/>
      <c r="Z18" s="118"/>
      <c r="AA18" s="118"/>
      <c r="AB18" s="129">
        <v>18000</v>
      </c>
    </row>
    <row r="19" spans="1:28" x14ac:dyDescent="0.3">
      <c r="A19" s="97"/>
      <c r="B19" s="98">
        <v>12</v>
      </c>
      <c r="C19" s="99" t="s">
        <v>125</v>
      </c>
      <c r="D19" s="103">
        <v>0</v>
      </c>
      <c r="E19" s="103">
        <v>0</v>
      </c>
      <c r="F19" s="103">
        <v>0</v>
      </c>
      <c r="G19" s="103">
        <f>27.5*AB19</f>
        <v>825000</v>
      </c>
      <c r="H19" s="103">
        <v>0</v>
      </c>
      <c r="I19" s="103">
        <v>0</v>
      </c>
      <c r="J19" s="103">
        <v>0</v>
      </c>
      <c r="K19" s="103">
        <v>0</v>
      </c>
      <c r="L19" s="103">
        <v>0</v>
      </c>
      <c r="M19" s="103">
        <v>0</v>
      </c>
      <c r="N19" s="103">
        <v>0</v>
      </c>
      <c r="O19" s="103">
        <v>0</v>
      </c>
      <c r="P19" s="103">
        <v>0</v>
      </c>
      <c r="Q19" s="130">
        <f t="shared" si="1"/>
        <v>825000</v>
      </c>
      <c r="T19" s="118"/>
      <c r="U19" s="118"/>
      <c r="V19" s="118"/>
      <c r="W19" s="118"/>
      <c r="X19" s="131"/>
      <c r="Y19" s="132"/>
      <c r="Z19" s="118"/>
      <c r="AA19" s="118"/>
      <c r="AB19" s="129">
        <v>30000</v>
      </c>
    </row>
    <row r="20" spans="1:28" x14ac:dyDescent="0.3">
      <c r="A20" s="97"/>
      <c r="B20" s="98">
        <v>13</v>
      </c>
      <c r="C20" s="102" t="s">
        <v>126</v>
      </c>
      <c r="D20" s="103">
        <v>0</v>
      </c>
      <c r="E20" s="103">
        <v>0</v>
      </c>
      <c r="F20" s="103">
        <v>0</v>
      </c>
      <c r="G20" s="103">
        <f>13.5*AB20</f>
        <v>540000</v>
      </c>
      <c r="H20" s="103">
        <v>0</v>
      </c>
      <c r="I20" s="103">
        <v>0</v>
      </c>
      <c r="J20" s="103">
        <v>0</v>
      </c>
      <c r="K20" s="103">
        <f>8*AB20</f>
        <v>320000</v>
      </c>
      <c r="L20" s="103">
        <f>5.2*AB20</f>
        <v>208000</v>
      </c>
      <c r="M20" s="103">
        <f>3.6*AB20</f>
        <v>144000</v>
      </c>
      <c r="N20" s="103">
        <f>2.8*AB20</f>
        <v>112000</v>
      </c>
      <c r="O20" s="103">
        <f>4*AB20</f>
        <v>160000</v>
      </c>
      <c r="P20" s="103">
        <f>4*AB20</f>
        <v>160000</v>
      </c>
      <c r="Q20" s="130">
        <f t="shared" si="1"/>
        <v>1644000</v>
      </c>
      <c r="T20" s="118"/>
      <c r="U20" s="118"/>
      <c r="V20" s="118"/>
      <c r="W20" s="118"/>
      <c r="X20" s="132"/>
      <c r="Y20" s="131"/>
      <c r="Z20" s="118"/>
      <c r="AA20" s="118"/>
      <c r="AB20" s="129">
        <v>40000</v>
      </c>
    </row>
    <row r="21" spans="1:28" x14ac:dyDescent="0.3">
      <c r="A21" s="97"/>
      <c r="B21" s="98">
        <v>14</v>
      </c>
      <c r="C21" s="102" t="s">
        <v>127</v>
      </c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  <c r="J21" s="103">
        <v>0</v>
      </c>
      <c r="K21" s="103">
        <v>0</v>
      </c>
      <c r="L21" s="103">
        <v>0</v>
      </c>
      <c r="M21" s="103">
        <v>0</v>
      </c>
      <c r="N21" s="103">
        <v>0</v>
      </c>
      <c r="O21" s="103">
        <v>0</v>
      </c>
      <c r="P21" s="103">
        <f>4*AB20</f>
        <v>160000</v>
      </c>
      <c r="Q21" s="130">
        <f t="shared" si="1"/>
        <v>160000</v>
      </c>
      <c r="T21" s="118"/>
      <c r="U21" s="118"/>
      <c r="V21" s="118"/>
      <c r="W21" s="118"/>
      <c r="X21" s="132"/>
      <c r="Y21" s="132"/>
      <c r="Z21" s="118"/>
      <c r="AA21" s="118"/>
      <c r="AB21" s="129">
        <v>20000</v>
      </c>
    </row>
    <row r="22" spans="1:28" x14ac:dyDescent="0.3">
      <c r="A22" s="97"/>
      <c r="B22" s="98">
        <v>15</v>
      </c>
      <c r="C22" s="99" t="s">
        <v>128</v>
      </c>
      <c r="D22" s="103">
        <v>0</v>
      </c>
      <c r="E22" s="103">
        <f>20.1*AB22</f>
        <v>2010000.0000000002</v>
      </c>
      <c r="F22" s="103">
        <f>12.2*AB22</f>
        <v>1220000</v>
      </c>
      <c r="G22" s="103">
        <v>0</v>
      </c>
      <c r="H22" s="103">
        <f>13.6*AB22</f>
        <v>1360000</v>
      </c>
      <c r="I22" s="103">
        <f>15*AB22</f>
        <v>1500000</v>
      </c>
      <c r="J22" s="103">
        <f>14.8*AB22</f>
        <v>1480000</v>
      </c>
      <c r="K22" s="103">
        <v>0</v>
      </c>
      <c r="L22" s="103">
        <v>0</v>
      </c>
      <c r="M22" s="103">
        <v>0</v>
      </c>
      <c r="N22" s="103">
        <v>0</v>
      </c>
      <c r="O22" s="103">
        <v>0</v>
      </c>
      <c r="P22" s="103">
        <v>0</v>
      </c>
      <c r="Q22" s="130">
        <f t="shared" si="1"/>
        <v>7570000</v>
      </c>
      <c r="T22" s="118"/>
      <c r="U22" s="118"/>
      <c r="V22" s="118"/>
      <c r="W22" s="118"/>
      <c r="X22" s="132"/>
      <c r="Y22" s="132"/>
      <c r="Z22" s="118"/>
      <c r="AA22" s="118"/>
      <c r="AB22" s="129">
        <v>100000</v>
      </c>
    </row>
    <row r="23" spans="1:28" x14ac:dyDescent="0.3">
      <c r="A23" s="104"/>
      <c r="B23" s="105"/>
      <c r="C23" s="106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T23" s="118"/>
      <c r="U23" s="118"/>
      <c r="V23" s="118"/>
      <c r="W23" s="118"/>
      <c r="X23" s="132"/>
      <c r="Y23" s="132"/>
      <c r="Z23" s="118"/>
      <c r="AA23" s="118"/>
      <c r="AB23" s="118"/>
    </row>
    <row r="24" spans="1:28" x14ac:dyDescent="0.3">
      <c r="T24" s="118"/>
      <c r="U24" s="118"/>
      <c r="V24" s="118"/>
      <c r="W24" s="118"/>
      <c r="X24" s="132"/>
      <c r="Y24" s="132"/>
      <c r="Z24" s="118"/>
      <c r="AA24" s="118"/>
      <c r="AB24" s="118"/>
    </row>
    <row r="25" spans="1:28" x14ac:dyDescent="0.3">
      <c r="N25" s="134"/>
      <c r="O25" s="134"/>
      <c r="P25" s="134"/>
      <c r="T25" s="118"/>
      <c r="U25" s="118"/>
      <c r="V25" s="118"/>
      <c r="W25" s="118"/>
      <c r="X25" s="131"/>
      <c r="Y25" s="132"/>
      <c r="Z25" s="118"/>
      <c r="AA25" s="118"/>
      <c r="AB25" s="118"/>
    </row>
    <row r="26" spans="1:28" x14ac:dyDescent="0.3">
      <c r="N26" s="134"/>
      <c r="O26" s="134"/>
      <c r="P26" s="134"/>
      <c r="T26" s="118"/>
      <c r="U26" s="118"/>
      <c r="V26" s="118"/>
      <c r="W26" s="118"/>
      <c r="X26" s="118"/>
      <c r="Y26" s="118"/>
      <c r="Z26" s="118"/>
      <c r="AA26" s="118"/>
      <c r="AB26" s="118"/>
    </row>
    <row r="27" spans="1:28" x14ac:dyDescent="0.3">
      <c r="N27" s="20"/>
      <c r="O27" s="20"/>
      <c r="P27" s="20"/>
      <c r="T27" s="118"/>
      <c r="U27" s="118"/>
      <c r="V27" s="118"/>
      <c r="W27" s="118"/>
      <c r="X27" s="118"/>
      <c r="Y27" s="118"/>
      <c r="Z27" s="118"/>
      <c r="AA27" s="118"/>
      <c r="AB27" s="118"/>
    </row>
    <row r="28" spans="1:28" x14ac:dyDescent="0.3">
      <c r="N28" s="20"/>
      <c r="O28" s="20"/>
      <c r="P28" s="20"/>
      <c r="T28" s="118"/>
      <c r="U28" s="118"/>
      <c r="V28" s="118"/>
      <c r="W28" s="118"/>
      <c r="X28" s="118"/>
      <c r="Y28" s="118"/>
      <c r="Z28" s="118"/>
      <c r="AA28" s="118"/>
      <c r="AB28" s="118"/>
    </row>
    <row r="29" spans="1:28" x14ac:dyDescent="0.3">
      <c r="N29" s="20"/>
      <c r="O29" s="20"/>
      <c r="P29" s="20"/>
      <c r="T29" s="118"/>
      <c r="U29" s="118"/>
      <c r="V29" s="118"/>
      <c r="W29" s="118"/>
      <c r="X29" s="118"/>
      <c r="Y29" s="118"/>
      <c r="Z29" s="118"/>
      <c r="AA29" s="118"/>
      <c r="AB29" s="118"/>
    </row>
    <row r="30" spans="1:28" x14ac:dyDescent="0.3">
      <c r="N30" s="144"/>
      <c r="O30" s="144"/>
      <c r="P30" s="144"/>
      <c r="T30" s="118"/>
      <c r="U30" s="118"/>
      <c r="V30" s="118"/>
      <c r="W30" s="118"/>
      <c r="X30" s="118"/>
      <c r="Y30" s="118"/>
      <c r="Z30" s="118"/>
      <c r="AA30" s="118"/>
      <c r="AB30" s="118"/>
    </row>
    <row r="31" spans="1:28" x14ac:dyDescent="0.3">
      <c r="N31" s="134"/>
      <c r="O31" s="134"/>
      <c r="P31" s="134"/>
      <c r="T31" s="118"/>
      <c r="U31" s="118"/>
      <c r="V31" s="118"/>
      <c r="W31" s="118"/>
      <c r="X31" s="118"/>
      <c r="Y31" s="118"/>
      <c r="Z31" s="118"/>
      <c r="AA31" s="118"/>
      <c r="AB31" s="118"/>
    </row>
    <row r="32" spans="1:28" x14ac:dyDescent="0.3">
      <c r="N32" s="134"/>
      <c r="O32" s="134"/>
      <c r="P32" s="134"/>
      <c r="T32" s="118"/>
      <c r="U32" s="118"/>
      <c r="V32" s="118"/>
      <c r="W32" s="118"/>
      <c r="X32" s="118"/>
      <c r="Y32" s="118"/>
      <c r="Z32" s="118"/>
      <c r="AA32" s="118"/>
      <c r="AB32" s="118"/>
    </row>
    <row r="33" spans="20:28" x14ac:dyDescent="0.3">
      <c r="T33" s="118"/>
      <c r="U33" s="118"/>
      <c r="V33" s="118"/>
      <c r="W33" s="118"/>
      <c r="X33" s="118"/>
      <c r="Y33" s="118"/>
      <c r="Z33" s="118"/>
      <c r="AA33" s="118"/>
      <c r="AB33" s="118"/>
    </row>
  </sheetData>
  <mergeCells count="13">
    <mergeCell ref="A1:Q1"/>
    <mergeCell ref="A2:Q2"/>
    <mergeCell ref="A4:A5"/>
    <mergeCell ref="B4:C5"/>
    <mergeCell ref="D4:P4"/>
    <mergeCell ref="Q4:Q5"/>
    <mergeCell ref="N32:P32"/>
    <mergeCell ref="B6:C6"/>
    <mergeCell ref="B7:C7"/>
    <mergeCell ref="N25:P25"/>
    <mergeCell ref="N26:P26"/>
    <mergeCell ref="N30:P30"/>
    <mergeCell ref="N31:P31"/>
  </mergeCells>
  <pageMargins left="0.70866141732283472" right="1.1023622047244095" top="0.74803149606299213" bottom="0.74803149606299213" header="0.31496062992125984" footer="0.31496062992125984"/>
  <pageSetup paperSize="10000" scale="34" fitToHeight="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RTP LAUT</vt:lpstr>
      <vt:lpstr>PRODUKSI LAUT</vt:lpstr>
      <vt:lpstr>NILAI PRODUKSI LAUT </vt:lpstr>
      <vt:lpstr>RTP PUD</vt:lpstr>
      <vt:lpstr>JUMLAH PRODUKSI PUD </vt:lpstr>
      <vt:lpstr>NILAI PRODUKSI PUD</vt:lpstr>
      <vt:lpstr>'NILAI PRODUKSI LAUT '!Print_Area</vt:lpstr>
      <vt:lpstr>'PRODUKSI LAUT'!Print_Area</vt:lpstr>
      <vt:lpstr>'RTP LAUT'!Print_Area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Fajar Muda Kurniawan</cp:lastModifiedBy>
  <cp:lastPrinted>2023-11-20T02:24:26Z</cp:lastPrinted>
  <dcterms:created xsi:type="dcterms:W3CDTF">2021-12-06T01:43:14Z</dcterms:created>
  <dcterms:modified xsi:type="dcterms:W3CDTF">2026-05-06T07:41:53Z</dcterms:modified>
</cp:coreProperties>
</file>